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38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<sst xmlns="http://schemas.openxmlformats.org/spreadsheetml/2006/main" count="3663" uniqueCount="2966">
  <si>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</si>
  <si>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</si>
  <si>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</si>
  <si>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</si>
  <si>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</si>
  <si>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</si>
  <si>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</si>
  <si>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</si>
  <si>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</si>
  <si>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</si>
  <si>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</si>
  <si>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</si>
  <si>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</si>
  <si>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</si>
  <si>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</si>
  <si>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</si>
  <si>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</si>
  <si>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</si>
  <si>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</si>
  <si>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</si>
  <si>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</si>
  <si>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</si>
  <si>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</si>
  <si>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</si>
  <si>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</si>
  <si>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</si>
  <si>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</si>
  <si>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</si>
  <si>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</si>
  <si>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</si>
  <si>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</si>
  <si>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</si>
  <si>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</si>
  <si>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</si>
  <si>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</si>
  <si>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</si>
  <si>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</si>
  <si>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</si>
  <si>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</si>
  <si>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</si>
  <si>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</si>
  <si>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</si>
  <si>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</si>
  <si>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</si>
  <si>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</si>
  <si>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</si>
  <si>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</si>
  <si>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</si>
  <si>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</si>
  <si>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</si>
  <si>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</si>
  <si>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</si>
  <si>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</si>
  <si>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</si>
  <si>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</si>
  <si>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</si>
  <si>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</si>
  <si>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</si>
  <si>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</si>
  <si>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</si>
  <si>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</si>
  <si>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</si>
  <si>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</si>
  <si>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</si>
  <si>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</si>
  <si>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</si>
  <si>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</si>
  <si>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</si>
  <si>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</si>
  <si>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</si>
  <si>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</si>
  <si>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</si>
  <si>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</si>
  <si>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</si>
  <si>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</si>
  <si>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</si>
  <si>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</si>
  <si>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</si>
  <si>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</si>
  <si>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</si>
  <si>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</si>
  <si>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</si>
  <si>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</si>
  <si>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</si>
  <si>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</si>
  <si>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</si>
  <si>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</si>
  <si>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</si>
  <si>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</si>
  <si>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</si>
  <si>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</si>
  <si>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</si>
  <si>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</si>
  <si>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</si>
  <si>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</si>
  <si>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</si>
  <si>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</si>
  <si>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</si>
  <si>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</si>
  <si>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</si>
  <si>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</si>
  <si>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</si>
  <si>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</si>
  <si>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</si>
  <si>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</si>
  <si>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</si>
  <si>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</si>
  <si>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</si>
  <si>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</si>
  <si>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</si>
  <si>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</si>
  <si>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</si>
  <si>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</si>
  <si>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</si>
  <si>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</si>
  <si>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</si>
  <si>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</si>
  <si>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</si>
  <si>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</si>
  <si>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</si>
  <si>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</si>
  <si>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</si>
  <si>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</si>
  <si>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</si>
  <si>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</si>
  <si>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</si>
  <si>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</si>
  <si>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</si>
  <si>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</si>
  <si>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</si>
  <si>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</si>
  <si>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</si>
  <si>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</si>
  <si>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</si>
  <si>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</si>
  <si>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</si>
  <si>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</si>
  <si>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</si>
  <si>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</si>
  <si>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</si>
  <si>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</si>
  <si>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</si>
  <si>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</si>
  <si>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</si>
  <si>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</si>
  <si>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</si>
  <si>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</si>
  <si>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</si>
  <si>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</si>
  <si>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</si>
  <si>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</si>
  <si>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</si>
  <si>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</si>
  <si>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</si>
  <si>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</si>
  <si>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</si>
  <si>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</si>
  <si>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</si>
  <si>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</si>
  <si>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</si>
  <si>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</si>
  <si>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</si>
  <si>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</si>
  <si>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</si>
  <si>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</si>
  <si>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</si>
  <si>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</si>
  <si>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</si>
  <si>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</si>
  <si>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</si>
  <si>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</si>
  <si>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</si>
  <si>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</si>
  <si>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</si>
  <si>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</si>
  <si>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</si>
  <si>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</si>
  <si>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</si>
  <si>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</si>
  <si>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</si>
  <si>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</si>
  <si>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</si>
  <si>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</si>
  <si>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</si>
  <si>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</si>
  <si>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</si>
  <si>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</si>
  <si>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</si>
  <si>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</si>
  <si>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</si>
  <si>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</si>
  <si>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</si>
  <si>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</si>
  <si>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</si>
  <si>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</si>
  <si>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</si>
  <si>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</si>
  <si>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</si>
  <si>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</si>
  <si>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</si>
  <si>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</si>
  <si>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</si>
  <si>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</si>
  <si>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</si>
  <si>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</si>
  <si>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</si>
  <si>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</si>
  <si>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</si>
  <si>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</si>
  <si>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</si>
  <si>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</si>
  <si>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</si>
  <si>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</si>
  <si>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</si>
  <si>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</si>
  <si>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</si>
  <si>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</si>
  <si>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</si>
  <si>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</si>
  <si>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</si>
  <si>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</si>
  <si>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</si>
  <si>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</si>
  <si>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</si>
  <si>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</si>
  <si>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</si>
  <si>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</si>
  <si>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</si>
  <si>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</si>
  <si>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</si>
  <si>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</si>
  <si>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</si>
  <si>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</si>
  <si>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</si>
  <si>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</si>
  <si>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</si>
  <si>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</si>
  <si>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</si>
  <si>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</si>
  <si>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</si>
  <si>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</si>
  <si>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</si>
  <si>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</si>
  <si>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</si>
  <si>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</si>
  <si>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</si>
  <si>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</si>
  <si>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</si>
  <si>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</si>
  <si>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</si>
  <si>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</si>
  <si>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</si>
  <si>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</si>
  <si>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</si>
  <si>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</si>
  <si>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</si>
  <si>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</si>
  <si>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</si>
  <si>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</si>
  <si>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</si>
  <si>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</si>
  <si>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</si>
  <si>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</si>
  <si>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</si>
  <si>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</si>
  <si>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</si>
  <si>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</si>
  <si>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</si>
  <si>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</si>
  <si>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</si>
  <si>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</si>
  <si>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</si>
  <si>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</si>
  <si>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</si>
  <si>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</si>
  <si>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</si>
  <si>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</si>
  <si>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</si>
  <si>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</si>
  <si>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</si>
  <si>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</si>
  <si>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</si>
  <si>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</si>
  <si>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</si>
  <si>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</si>
  <si>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</si>
  <si>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</si>
  <si>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</si>
  <si>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</si>
  <si>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</si>
  <si>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</si>
  <si>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</si>
  <si>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</si>
  <si>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</si>
  <si>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</si>
  <si>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</si>
  <si>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</si>
  <si>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</si>
  <si>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</si>
  <si>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</si>
  <si>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</si>
  <si>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</si>
  <si>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</si>
  <si>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</si>
  <si>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</si>
  <si>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</si>
  <si>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</si>
  <si>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</si>
  <si>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</si>
  <si>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</si>
  <si>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</si>
  <si>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</si>
  <si>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</si>
  <si>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</si>
  <si>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</si>
  <si>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</si>
  <si>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</si>
  <si>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</si>
  <si>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</si>
  <si>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</si>
  <si>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</si>
  <si>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</si>
  <si>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</si>
  <si>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</si>
  <si>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</si>
  <si>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</si>
  <si>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</si>
  <si>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</si>
  <si>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</si>
  <si>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</si>
  <si>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</si>
  <si>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</si>
  <si>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</si>
  <si>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</si>
  <si>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</si>
  <si>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</si>
  <si>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</si>
  <si>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</si>
  <si>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</si>
  <si>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</si>
  <si>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</si>
  <si>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</si>
  <si>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</si>
  <si>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</si>
  <si>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</si>
  <si>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</si>
  <si>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</si>
  <si>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</si>
  <si>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</si>
  <si>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</si>
  <si>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</si>
  <si>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</si>
  <si>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</si>
  <si>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</si>
  <si>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</si>
  <si>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</si>
  <si>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</si>
  <si>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</si>
  <si>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</si>
  <si>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</si>
  <si>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</si>
  <si>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</si>
  <si>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</si>
  <si>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</si>
  <si>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</si>
  <si>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</si>
  <si>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</si>
  <si>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</si>
  <si>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</si>
  <si>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</si>
  <si>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</si>
  <si>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</si>
  <si>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</si>
  <si>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</si>
  <si>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</si>
  <si>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</si>
  <si>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</si>
  <si>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</si>
  <si>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</si>
  <si>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</si>
  <si>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</si>
  <si>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</si>
  <si>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</si>
  <si>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</si>
  <si>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</si>
  <si>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</si>
  <si>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</si>
  <si>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</si>
  <si>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</si>
  <si>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</si>
  <si>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</si>
  <si>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</si>
  <si>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</si>
  <si>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</si>
  <si>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</si>
  <si>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</si>
  <si>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</si>
  <si>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</si>
  <si>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</si>
  <si>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</si>
  <si>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</si>
  <si>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</si>
  <si>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</si>
  <si>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</si>
  <si>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</si>
  <si>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</si>
  <si>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</si>
  <si>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</si>
  <si>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</si>
  <si>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</si>
  <si>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</si>
  <si>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</si>
  <si>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</si>
  <si>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</si>
  <si>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</si>
  <si>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</si>
  <si>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</si>
  <si>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</si>
  <si>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</si>
  <si>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</si>
  <si>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</si>
  <si>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</si>
  <si>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</si>
  <si>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</si>
  <si>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</si>
  <si>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</si>
  <si>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</si>
  <si>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</si>
  <si>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</si>
  <si>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</si>
  <si>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</si>
  <si>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</si>
  <si>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</si>
  <si>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</si>
  <si>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</si>
  <si>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</si>
  <si>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</si>
  <si>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</si>
  <si>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</si>
  <si>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</si>
  <si>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</si>
  <si>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</si>
  <si>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</si>
  <si>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</si>
  <si>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</si>
  <si>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</si>
  <si>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</si>
  <si>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</si>
  <si>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</si>
  <si>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</si>
  <si>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</si>
  <si>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</si>
  <si>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</si>
  <si>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</si>
  <si>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</si>
  <si>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</si>
  <si>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</si>
  <si>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</si>
  <si>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</si>
  <si>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</si>
  <si>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</si>
  <si>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</si>
  <si>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</si>
  <si>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</si>
  <si>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</si>
  <si>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</si>
  <si>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</si>
  <si>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</si>
  <si>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</si>
  <si>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</si>
  <si>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</si>
  <si>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</si>
  <si>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</si>
  <si>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</si>
  <si>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</si>
  <si>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</si>
  <si>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</si>
  <si>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</si>
  <si>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</si>
  <si>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</si>
  <si>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</si>
  <si>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</si>
  <si>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</si>
  <si>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</si>
  <si>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</si>
  <si>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</si>
  <si>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</si>
  <si>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</si>
  <si>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</si>
  <si>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</si>
  <si>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</si>
  <si>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</si>
  <si>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</si>
  <si>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</si>
  <si>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</si>
  <si>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</si>
  <si>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</si>
  <si>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</si>
  <si>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</si>
  <si>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</si>
  <si>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</si>
  <si>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</si>
  <si>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</si>
  <si>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</si>
  <si>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</si>
  <si>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</si>
  <si>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</si>
  <si>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</si>
  <si>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</si>
  <si>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</si>
  <si>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</si>
  <si>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</si>
  <si>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</si>
  <si>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</si>
  <si>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</si>
  <si>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</si>
  <si>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</si>
  <si>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</si>
  <si>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</si>
  <si>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</si>
  <si>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</si>
  <si>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</si>
  <si>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</si>
  <si>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</si>
  <si>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</si>
  <si>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</si>
  <si>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</si>
  <si>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</si>
  <si>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</si>
  <si>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</si>
  <si>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</si>
  <si>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</si>
  <si>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</si>
  <si>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</si>
  <si>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</si>
  <si>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</si>
  <si>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</si>
  <si>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</si>
  <si>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</si>
  <si>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</si>
  <si>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</si>
  <si>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</si>
  <si>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</si>
  <si>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</si>
  <si>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</si>
  <si>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</si>
  <si>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</si>
  <si>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</si>
  <si>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</si>
  <si>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</si>
  <si>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</si>
  <si>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</si>
  <si>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</si>
  <si>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</si>
  <si>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</si>
  <si>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</si>
  <si>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</si>
  <si>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</si>
  <si>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</si>
  <si>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</si>
  <si>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</si>
  <si>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</si>
  <si>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</si>
  <si>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</si>
  <si>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</si>
  <si>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</si>
  <si>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</si>
  <si>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</si>
  <si>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</si>
  <si>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</si>
  <si>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</si>
  <si>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</si>
  <si>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</si>
  <si>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</si>
  <si>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</si>
  <si>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</si>
  <si>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</si>
  <si>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</si>
  <si>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</si>
  <si>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</si>
  <si>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</si>
  <si>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</si>
  <si>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</si>
  <si>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</si>
  <si>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</si>
  <si>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</si>
  <si>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</si>
  <si>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</si>
  <si>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</si>
  <si>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</si>
  <si>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</si>
  <si>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</si>
  <si>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</si>
  <si>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</si>
  <si>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</si>
  <si>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</si>
  <si>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</si>
  <si>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</si>
  <si>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</si>
  <si>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</si>
  <si>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</si>
  <si>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</si>
  <si>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</si>
  <si>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</si>
  <si>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</si>
  <si>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</si>
  <si>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</si>
  <si>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</si>
  <si>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</si>
  <si>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</si>
  <si>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</si>
  <si>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</si>
  <si>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</si>
  <si>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</si>
  <si>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</si>
  <si>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</si>
  <si>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</si>
  <si>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</si>
  <si>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</si>
  <si>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</si>
  <si>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</si>
  <si>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</si>
  <si>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</si>
  <si>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</si>
  <si>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</si>
  <si>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</si>
  <si>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</si>
  <si>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</si>
  <si>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</si>
  <si>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</si>
  <si>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</si>
  <si>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</si>
  <si>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</si>
  <si>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</si>
  <si>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</si>
  <si>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</si>
  <si>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</si>
  <si>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</si>
  <si>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</si>
  <si>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</si>
  <si>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</si>
  <si>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</si>
  <si>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</si>
  <si>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</si>
  <si>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</si>
  <si>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</si>
  <si>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</si>
  <si>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</si>
  <si>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</si>
  <si>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</si>
  <si>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</si>
  <si>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</si>
  <si>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</si>
  <si>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</si>
  <si>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</si>
  <si>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</si>
  <si>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</si>
  <si>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</si>
  <si>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</si>
  <si>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</si>
  <si>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</si>
  <si>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</si>
  <si>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</si>
  <si>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</si>
  <si>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</si>
  <si>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</si>
  <si>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</si>
  <si>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</si>
  <si>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</si>
  <si>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</si>
  <si>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</si>
  <si>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</si>
  <si>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</si>
  <si>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</si>
  <si>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</si>
  <si>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</si>
  <si>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</si>
  <si>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</si>
  <si>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</si>
  <si>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</si>
  <si>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</si>
  <si>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</si>
  <si>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</si>
  <si>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</si>
  <si>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</si>
  <si>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</si>
  <si>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</si>
  <si>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</si>
  <si>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</si>
  <si>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</si>
  <si>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</si>
  <si>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</si>
  <si>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</si>
  <si>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</si>
  <si>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</si>
  <si>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</si>
  <si>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</si>
  <si>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</si>
  <si>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</si>
  <si>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</si>
  <si>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</si>
  <si>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</si>
  <si>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</si>
  <si>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</si>
  <si>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</si>
  <si>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</si>
  <si>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</si>
  <si>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</si>
  <si>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</si>
  <si>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</si>
  <si>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</si>
  <si>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</si>
  <si>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</si>
  <si>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</si>
  <si>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</si>
  <si>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</si>
  <si>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</si>
  <si>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</si>
  <si>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</si>
  <si>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</si>
  <si>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</si>
  <si>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</si>
  <si>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</si>
  <si>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</si>
  <si>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</si>
  <si>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</si>
  <si>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</si>
  <si>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</si>
  <si>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</si>
  <si>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</si>
  <si>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</si>
  <si>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</si>
  <si>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</si>
  <si>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</si>
  <si>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</si>
  <si>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</si>
  <si>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</si>
  <si>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</si>
  <si>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</si>
  <si>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</si>
  <si>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</si>
  <si>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</si>
  <si>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</si>
  <si>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</si>
  <si>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</si>
  <si>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</si>
  <si>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</si>
  <si>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</si>
  <si>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</si>
  <si>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</si>
  <si>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</si>
  <si>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</si>
  <si>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</si>
  <si>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</si>
  <si>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</si>
  <si>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</si>
  <si>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</si>
  <si>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</si>
  <si>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</si>
  <si>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</si>
  <si>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</si>
  <si>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</si>
  <si>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</si>
  <si>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</si>
  <si>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</si>
  <si>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</si>
  <si>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</si>
  <si>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</si>
  <si>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</si>
  <si>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</si>
  <si>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</si>
  <si>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</si>
  <si>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</si>
  <si>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</si>
  <si>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</si>
  <si>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</si>
  <si>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</si>
  <si>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</si>
  <si>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</si>
  <si>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</si>
  <si>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</si>
  <si>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</si>
  <si>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</si>
  <si>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</si>
  <si>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</si>
  <si>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</si>
  <si>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</si>
  <si>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</si>
  <si>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</si>
  <si>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</si>
  <si>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</si>
  <si>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</si>
  <si>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</si>
  <si>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</si>
  <si>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</si>
  <si>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</si>
  <si>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</si>
  <si>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</si>
  <si>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</si>
  <si>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</si>
  <si>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</si>
  <si>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</si>
  <si>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</si>
  <si>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</si>
  <si>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</si>
  <si>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</si>
  <si>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</si>
  <si>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</si>
  <si>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</si>
  <si>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</si>
  <si>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</si>
  <si>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</si>
  <si>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</si>
  <si>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</si>
  <si>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</si>
  <si>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</si>
  <si>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</si>
  <si>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</si>
  <si>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</si>
  <si>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</si>
  <si>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</si>
  <si>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</si>
  <si>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</si>
  <si>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</si>
  <si>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</si>
  <si>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</si>
  <si>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</si>
  <si>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</si>
  <si>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</si>
  <si>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</si>
  <si>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</si>
  <si>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</si>
  <si>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</si>
  <si>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</si>
  <si>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</si>
  <si>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</si>
  <si>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</si>
  <si>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</si>
  <si>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</si>
  <si>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</si>
  <si>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</si>
  <si>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</si>
  <si>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</si>
  <si>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</si>
  <si>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</si>
  <si>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</si>
  <si>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</si>
  <si>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</si>
  <si>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</si>
  <si>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</si>
  <si>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</si>
  <si>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</si>
  <si>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</si>
  <si>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</si>
  <si>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</si>
  <si>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</si>
  <si>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</si>
  <si>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</si>
  <si>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</si>
  <si>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</si>
  <si>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</si>
  <si>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</si>
  <si>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</si>
  <si>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</si>
  <si>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</si>
  <si>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</si>
  <si>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</si>
  <si>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</si>
  <si>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</si>
  <si>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</si>
  <si>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</si>
  <si>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</si>
  <si>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</si>
  <si>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</si>
  <si>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</si>
  <si>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</si>
  <si>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</si>
  <si>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</si>
  <si>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</si>
  <si>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</si>
  <si>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</si>
  <si>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</si>
  <si>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</si>
  <si>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</si>
  <si>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</si>
  <si>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</si>
  <si>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</si>
  <si>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</si>
  <si>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</si>
  <si>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</si>
  <si>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</si>
  <si>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</si>
  <si>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</si>
  <si>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</si>
  <si>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</si>
  <si>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</si>
  <si>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</si>
  <si>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</si>
  <si>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</si>
  <si>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</si>
  <si>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</si>
  <si>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</si>
  <si>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</si>
  <si>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</si>
  <si>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</si>
  <si>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</si>
  <si>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</si>
  <si>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</si>
  <si>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</si>
  <si>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</si>
  <si>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</si>
  <si>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</si>
  <si>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</si>
  <si>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</si>
  <si>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</si>
  <si>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</si>
  <si>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</si>
  <si>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</si>
  <si>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</si>
  <si>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</si>
  <si>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</si>
  <si>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</si>
  <si>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</si>
  <si>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</si>
  <si>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</si>
  <si>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</si>
  <si>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</si>
  <si>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</si>
  <si>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</si>
  <si>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</si>
  <si>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</si>
  <si>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</si>
  <si>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</si>
  <si>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</si>
  <si>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</si>
  <si>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</si>
  <si>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</si>
  <si>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</si>
  <si>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</si>
  <si>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</si>
  <si>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</si>
  <si>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</si>
  <si>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</si>
  <si>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</si>
  <si>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</si>
  <si>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</si>
  <si>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</si>
  <si>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</si>
  <si>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</si>
  <si>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</si>
  <si>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</si>
  <si>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</si>
  <si>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</si>
  <si>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</si>
  <si>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</si>
  <si>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</si>
  <si>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</si>
  <si>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</si>
  <si>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</si>
  <si>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</si>
  <si>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</si>
  <si>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</si>
  <si>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</si>
  <si>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</si>
  <si>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</si>
  <si>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</si>
  <si>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</si>
  <si>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</si>
  <si>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</si>
  <si>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</si>
  <si>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</si>
  <si>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</si>
  <si>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</si>
  <si>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</si>
  <si>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</si>
  <si>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</si>
  <si>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</si>
  <si>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</si>
  <si>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</si>
  <si>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</si>
  <si>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</si>
  <si>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</si>
  <si>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</si>
  <si>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</si>
  <si>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</si>
  <si>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</si>
  <si>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</si>
  <si>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</si>
  <si>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</si>
  <si>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</si>
  <si>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</si>
  <si>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</si>
  <si>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</si>
  <si>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</si>
  <si>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</si>
  <si>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</si>
  <si>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</si>
  <si>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</si>
  <si>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</si>
  <si>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</si>
  <si>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</si>
  <si>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</si>
  <si>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</si>
  <si>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</si>
  <si>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</si>
  <si>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</si>
  <si>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</si>
  <si>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</si>
  <si>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</si>
  <si>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</si>
  <si>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</si>
  <si>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</si>
  <si>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</si>
  <si>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</si>
  <si>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</si>
  <si>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</si>
  <si>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</si>
  <si>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</si>
  <si>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</si>
  <si>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</si>
  <si>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</si>
  <si>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</si>
  <si>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</si>
  <si>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</si>
  <si>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</si>
  <si>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</si>
  <si>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</si>
  <si>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</si>
  <si>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</si>
  <si>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</si>
  <si>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</si>
  <si>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</si>
  <si>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</si>
  <si>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</si>
  <si>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</si>
  <si>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</si>
  <si>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</si>
  <si>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</si>
  <si>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</si>
  <si>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</si>
  <si>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</si>
  <si>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</si>
  <si>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</si>
  <si>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</si>
  <si>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</si>
  <si>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</si>
  <si>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</si>
  <si>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</si>
  <si>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</si>
  <si>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</si>
  <si>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</si>
  <si>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</si>
  <si>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</si>
  <si>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</si>
  <si>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</si>
  <si>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</si>
  <si>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</si>
  <si>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</si>
  <si>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</si>
  <si>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</si>
  <si>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</si>
  <si>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</si>
  <si>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</si>
  <si>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</si>
  <si>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</si>
  <si>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</si>
  <si>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</si>
  <si>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</si>
  <si>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</si>
  <si>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</si>
  <si>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</si>
  <si>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</si>
  <si>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</si>
  <si>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</si>
  <si>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</si>
  <si>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</si>
  <si>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</si>
  <si>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</si>
  <si>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</si>
  <si>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</si>
  <si>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</si>
  <si>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</si>
  <si>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</si>
  <si>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</si>
  <si>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</si>
  <si>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</si>
  <si>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</si>
  <si>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</si>
  <si>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</si>
  <si>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</si>
  <si>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</si>
  <si>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</si>
  <si>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</si>
  <si>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</si>
  <si>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</si>
  <si>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</si>
  <si>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</si>
  <si>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</si>
  <si>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</si>
  <si>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</si>
  <si>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</si>
  <si>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</si>
  <si>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</si>
  <si>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</si>
  <si>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</si>
  <si>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</si>
  <si>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</si>
  <si>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</si>
  <si>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</si>
  <si>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</si>
  <si>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</si>
  <si>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</si>
  <si>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</si>
  <si>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</si>
  <si>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</si>
  <si>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</si>
  <si>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</si>
  <si>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</si>
  <si>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</si>
  <si>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</si>
  <si>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</si>
  <si>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</si>
  <si>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</si>
  <si>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</si>
  <si>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</si>
  <si>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</si>
  <si>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</si>
  <si>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</si>
  <si>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</si>
  <si>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</si>
  <si>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</si>
  <si>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</si>
  <si>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</si>
  <si>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</si>
  <si>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</si>
  <si>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</si>
  <si>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</si>
  <si>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</si>
  <si>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</si>
  <si>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</si>
  <si>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</si>
  <si>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</si>
  <si>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</si>
  <si>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</si>
  <si>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</si>
  <si>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</si>
  <si>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</si>
  <si>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</si>
  <si>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</si>
  <si>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</si>
  <si>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</si>
  <si>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</si>
  <si>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</si>
  <si>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</si>
  <si>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</si>
  <si>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</si>
  <si>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</si>
  <si>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</si>
  <si>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</si>
  <si>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</si>
  <si>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</si>
  <si>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</si>
  <si>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</si>
  <si>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</si>
  <si>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</si>
  <si>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</si>
  <si>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</si>
  <si>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</si>
  <si>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</si>
  <si>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</si>
  <si>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</si>
  <si>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</si>
  <si>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</si>
  <si>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</si>
  <si>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</si>
  <si>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</si>
  <si>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</si>
  <si>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</si>
  <si>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</si>
  <si>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</si>
  <si>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</si>
  <si>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</si>
  <si>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</si>
  <si>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</si>
  <si>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</si>
  <si>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</si>
  <si>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</si>
  <si>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</si>
  <si>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</si>
  <si>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</si>
  <si>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</si>
  <si>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</si>
  <si>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</si>
  <si>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</si>
  <si>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</si>
  <si>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</si>
  <si>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</si>
  <si>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</si>
  <si>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</si>
  <si>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</si>
  <si>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</si>
  <si>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</si>
  <si>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</si>
  <si>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</si>
  <si>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</si>
  <si>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</si>
  <si>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</si>
  <si>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</si>
  <si>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</si>
  <si>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</si>
  <si>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</si>
  <si>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</si>
  <si>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</si>
  <si>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</si>
  <si>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</si>
  <si>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</si>
  <si>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</si>
  <si>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</si>
  <si>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</si>
  <si>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</si>
  <si>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</si>
  <si>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</si>
  <si>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</si>
  <si>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</si>
  <si>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</si>
  <si>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</si>
  <si>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</si>
  <si>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</si>
  <si>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</si>
  <si>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</si>
  <si>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</si>
  <si>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</si>
  <si>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</si>
  <si>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</si>
  <si>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</si>
  <si>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</si>
  <si>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</si>
  <si>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</si>
  <si>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</si>
  <si>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</si>
  <si>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</si>
  <si>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</si>
  <si>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</si>
  <si>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</si>
  <si>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</si>
  <si>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</si>
  <si>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</si>
  <si>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</si>
  <si>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</si>
  <si>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</si>
  <si>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</si>
  <si>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</si>
  <si>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</si>
  <si>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</si>
  <si>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</si>
  <si>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</si>
  <si>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</si>
  <si>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</si>
  <si>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</si>
  <si>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</si>
  <si>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</si>
  <si>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</si>
  <si>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</si>
  <si>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</si>
  <si>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</si>
  <si>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</si>
  <si>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</si>
  <si>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</si>
  <si>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</si>
  <si>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</si>
  <si>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</si>
  <si>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</si>
  <si>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</si>
  <si>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</si>
  <si>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</si>
  <si>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</si>
  <si>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</si>
  <si>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</si>
  <si>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</si>
  <si>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</si>
  <si>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</si>
  <si>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</si>
  <si>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</si>
  <si>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</si>
  <si>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</si>
  <si>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</si>
  <si>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</si>
  <si>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</si>
  <si>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</si>
  <si>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</si>
  <si>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</si>
  <si>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</si>
  <si>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</si>
  <si>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</si>
  <si>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</si>
  <si>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</si>
  <si>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</si>
  <si>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</si>
  <si>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</si>
  <si>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</si>
  <si>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</si>
  <si>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</si>
  <si>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</si>
  <si>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</si>
  <si>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</si>
  <si>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</si>
  <si>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</si>
  <si>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</si>
  <si>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</si>
  <si>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</si>
  <si>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</si>
  <si>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</si>
  <si>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</si>
  <si>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</si>
  <si>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</si>
  <si>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</si>
  <si>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</si>
  <si>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</si>
  <si>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</si>
  <si>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</si>
  <si>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</si>
  <si>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</si>
  <si>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</si>
  <si>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</si>
  <si>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</si>
  <si>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</si>
  <si>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</si>
  <si>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</si>
  <si>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</si>
  <si>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</si>
  <si>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</si>
  <si>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</si>
  <si>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</si>
  <si>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</si>
  <si>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</si>
  <si>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</si>
  <si>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</si>
  <si>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</si>
  <si>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</si>
  <si>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</si>
  <si>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</si>
  <si>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</si>
  <si>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</si>
  <si>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</si>
  <si>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</si>
  <si>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</si>
  <si>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</si>
  <si>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</si>
  <si>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</si>
  <si>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</si>
  <si>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</si>
  <si>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</si>
  <si>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</si>
  <si>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</si>
  <si>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</si>
  <si>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</si>
  <si>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</si>
  <si>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</si>
  <si>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</si>
  <si>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</si>
  <si>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</si>
  <si>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</si>
  <si>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</si>
  <si>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</si>
  <si>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</si>
  <si>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</si>
  <si>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</si>
  <si>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</si>
  <si>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</si>
  <si>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</si>
  <si>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</si>
  <si>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</si>
  <si>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</si>
  <si>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</si>
  <si>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</si>
  <si>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</si>
  <si>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</si>
  <si>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</si>
  <si>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</si>
  <si>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</si>
  <si>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</si>
  <si>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</si>
  <si>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</si>
  <si>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</si>
  <si>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</si>
  <si>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</si>
  <si>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</si>
  <si>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</si>
  <si>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</si>
  <si>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</si>
  <si>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</si>
  <si>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</si>
  <si>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</si>
  <si>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</si>
  <si>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</si>
  <si>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</si>
  <si>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</si>
  <si>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</si>
  <si>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</si>
  <si>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</si>
  <si>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</si>
  <si>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</si>
  <si>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</si>
  <si>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</si>
  <si>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</si>
  <si>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</si>
  <si>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</si>
  <si>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</si>
  <si>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</si>
  <si>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</si>
  <si>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</si>
  <si>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</si>
  <si>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</si>
  <si>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</si>
  <si>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</si>
  <si>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</si>
  <si>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</si>
  <si>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</si>
  <si>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</si>
  <si>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</si>
  <si>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</si>
  <si>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</si>
  <si>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</si>
  <si>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</si>
  <si>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</si>
  <si>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</si>
  <si>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</si>
  <si>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</si>
  <si>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</si>
  <si>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</si>
  <si>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</si>
  <si>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</si>
  <si>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</si>
  <si>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</si>
  <si>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</si>
  <si>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</si>
  <si>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</si>
  <si>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</si>
  <si>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</si>
  <si>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</si>
  <si>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</si>
  <si>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</si>
  <si>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</si>
  <si>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</si>
  <si>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</si>
  <si>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</si>
  <si>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</si>
  <si>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</si>
  <si>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</si>
  <si>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</si>
  <si>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</si>
  <si>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</si>
  <si>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</si>
  <si>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</si>
  <si>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</si>
  <si>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</si>
  <si>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</si>
  <si>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</si>
  <si>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</si>
  <si>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</si>
  <si>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</si>
  <si>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</si>
  <si>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</si>
  <si>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</si>
  <si>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</si>
  <si>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</si>
  <si>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</si>
  <si>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</si>
  <si>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</si>
  <si>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</si>
  <si>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</si>
  <si>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</si>
  <si>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</si>
  <si>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</si>
  <si>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</si>
  <si>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</si>
  <si>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</si>
  <si>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</si>
  <si>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</si>
  <si>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</si>
  <si>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</si>
  <si>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</si>
  <si>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</si>
  <si>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</si>
  <si>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</si>
  <si>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</si>
  <si>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</si>
  <si>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</si>
  <si>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</si>
  <si>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</si>
  <si>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</si>
  <si>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</si>
  <si>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</si>
  <si>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</si>
  <si>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</si>
  <si>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</si>
  <si>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</si>
  <si>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</si>
  <si>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</si>
  <si>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</si>
  <si>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</si>
  <si>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</si>
  <si>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</si>
  <si>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</si>
  <si>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</si>
  <si>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</si>
  <si>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</si>
  <si>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</si>
  <si>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</si>
  <si>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</si>
  <si>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</si>
  <si>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</si>
  <si>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</si>
  <si>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</si>
  <si>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</si>
  <si>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</si>
  <si>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</si>
  <si>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</si>
  <si>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</si>
  <si>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</si>
  <si>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</si>
  <si>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</si>
  <si>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</si>
  <si>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</si>
  <si>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</si>
  <si>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</si>
  <si>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</si>
  <si>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</si>
  <si>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</si>
  <si>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</si>
  <si>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</si>
  <si>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</si>
  <si>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</si>
  <si>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</si>
  <si>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</si>
  <si>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</si>
  <si>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</si>
  <si>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</si>
  <si>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</si>
  <si>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</si>
  <si>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</si>
  <si>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</si>
  <si>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</si>
  <si>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</si>
  <si>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</si>
  <si>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</si>
  <si>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</si>
  <si>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</si>
  <si>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</si>
  <si>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</si>
  <si>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</si>
  <si>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</si>
  <si>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</si>
  <si>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</si>
  <si>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</si>
  <si>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</si>
  <si>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</si>
  <si>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</si>
  <si>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</si>
  <si>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</si>
  <si>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</si>
  <si>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</si>
  <si>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</si>
  <si>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</si>
  <si>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</si>
  <si>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</si>
  <si>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</si>
  <si>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</si>
  <si>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</si>
  <si>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</si>
  <si>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</si>
  <si>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</si>
  <si>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</si>
  <si>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</si>
  <si>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</si>
  <si>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</si>
  <si>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</si>
  <si>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</si>
  <si>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</si>
  <si>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</si>
  <si>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</si>
  <si>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</si>
  <si>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</si>
  <si>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</si>
  <si>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</si>
  <si>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</si>
  <si>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</si>
  <si>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</si>
  <si>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</si>
  <si>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</si>
  <si>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</si>
  <si>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</si>
  <si>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</si>
  <si>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</si>
  <si>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</si>
  <si>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</si>
  <si>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</si>
  <si>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</si>
  <si>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</si>
  <si>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</si>
  <si>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</si>
  <si>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</si>
  <si>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</si>
  <si>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</si>
  <si>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</si>
  <si>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</si>
  <si>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</si>
  <si>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</si>
  <si>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</si>
  <si>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</si>
  <si>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</si>
  <si>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</si>
  <si>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</si>
  <si>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</si>
  <si>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</si>
  <si>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</si>
  <si>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</si>
  <si>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</si>
  <si>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</si>
  <si>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</si>
  <si>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</si>
  <si>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</si>
  <si>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</si>
  <si>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</si>
  <si>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</si>
  <si>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</si>
  <si>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</si>
  <si>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</si>
  <si>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</si>
  <si>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</si>
  <si>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</si>
  <si>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</si>
  <si>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</si>
  <si>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</si>
  <si>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</si>
  <si>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</si>
  <si>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</si>
  <si>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</si>
  <si>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</si>
  <si>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</si>
  <si>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</si>
  <si>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</si>
  <si>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</si>
  <si>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</si>
  <si>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</si>
  <si>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</si>
  <si>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</si>
  <si>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</si>
  <si>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</si>
  <si>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</si>
  <si>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</si>
  <si>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</si>
  <si>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</si>
  <si>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</si>
  <si>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</si>
  <si>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</si>
  <si>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</si>
  <si>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</si>
  <si>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</si>
  <si>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</si>
  <si>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</si>
  <si>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</si>
  <si>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</si>
  <si>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</si>
  <si>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</si>
  <si>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</si>
  <si>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</si>
  <si>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</si>
  <si>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</si>
  <si>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</si>
  <si>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</si>
  <si>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</si>
  <si>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</si>
  <si>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</si>
  <si>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</si>
  <si>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</si>
  <si>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</si>
  <si>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</si>
  <si>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</si>
  <si>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</si>
  <si>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</si>
  <si>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</si>
  <si>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</si>
  <si>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</si>
  <si>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</si>
  <si>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</si>
  <si>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</si>
  <si>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</si>
  <si>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</si>
  <si>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</si>
  <si>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</si>
  <si>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</si>
  <si>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</si>
  <si>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</si>
  <si>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</si>
  <si>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</si>
  <si>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</si>
  <si>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</si>
  <si>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</si>
  <si>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</si>
  <si>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</si>
  <si>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</si>
  <si>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</si>
  <si>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</si>
  <si>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</si>
  <si>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</si>
  <si>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</si>
  <si>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</si>
  <si>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</si>
  <si>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</si>
  <si>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</si>
  <si>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</si>
  <si>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</si>
  <si>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</si>
  <si>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</si>
  <si>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</si>
  <si>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</si>
  <si>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</si>
  <si>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</si>
  <si>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</si>
  <si>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</si>
  <si>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</si>
  <si>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</si>
  <si>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</si>
  <si>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</si>
  <si>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</si>
  <si>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</si>
  <si>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</si>
  <si>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</si>
  <si>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</si>
  <si>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</si>
  <si>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</si>
  <si>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</si>
  <si>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</si>
  <si>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</si>
  <si>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</si>
  <si>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</si>
  <si>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</si>
  <si>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</si>
  <si>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</si>
  <si>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</si>
  <si>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</si>
  <si>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</si>
  <si>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</si>
  <si>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</si>
  <si>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</si>
  <si>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</si>
  <si>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</si>
  <si>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</si>
  <si>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</si>
  <si>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</si>
  <si>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</si>
  <si>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</si>
  <si>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</si>
  <si>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</si>
  <si>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</si>
  <si>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</si>
  <si>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</si>
  <si>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</si>
  <si>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</si>
  <si>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</si>
  <si>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</si>
  <si>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</si>
  <si>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</si>
  <si>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</si>
  <si>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</si>
  <si>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</si>
  <si>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</si>
  <si>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</si>
  <si>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</si>
  <si>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</si>
  <si>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</si>
  <si>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</si>
  <si>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</si>
  <si>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</si>
  <si>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</si>
  <si>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</si>
  <si>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</si>
  <si>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</si>
  <si>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</si>
  <si>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</si>
  <si>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</si>
  <si>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</si>
  <si>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</si>
  <si>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</si>
  <si>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</si>
  <si>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</si>
  <si>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</si>
  <si>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</si>
  <si>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</si>
  <si>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</si>
  <si>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</si>
  <si>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</si>
  <si>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</si>
  <si>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</si>
  <si>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</si>
  <si>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</si>
  <si>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</si>
  <si>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</si>
  <si>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</si>
  <si>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</si>
  <si>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</si>
  <si>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</si>
  <si>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</si>
  <si>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</si>
  <si>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</si>
  <si>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</si>
  <si>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</si>
  <si>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</si>
  <si>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</si>
  <si>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</si>
  <si>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</si>
  <si>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</si>
  <si>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</si>
  <si>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</si>
  <si>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</si>
  <si>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</si>
  <si>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</si>
  <si>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</si>
  <si>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</si>
  <si>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</si>
  <si>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</si>
  <si>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</si>
  <si>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</si>
  <si>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</si>
  <si>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</si>
  <si>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</si>
  <si>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</si>
  <si>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</si>
  <si>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</si>
  <si>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</si>
  <si>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</si>
  <si>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</si>
  <si>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</si>
  <si>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</si>
  <si>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</si>
  <si>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</si>
  <si>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</si>
  <si>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</si>
  <si>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</si>
  <si>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</si>
  <si>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</si>
  <si>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</si>
  <si>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</si>
  <si>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</si>
  <si>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</si>
  <si>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</si>
  <si>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</si>
  <si>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</si>
  <si>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</si>
  <si>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</si>
  <si>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</si>
  <si>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</si>
  <si>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</si>
  <si>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</si>
  <si>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</si>
  <si>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</si>
  <si>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</si>
  <si>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</si>
  <si>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</si>
  <si>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</si>
  <si>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</si>
  <si>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</si>
  <si>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</si>
  <si>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</si>
  <si>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</si>
  <si>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</si>
  <si>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</si>
  <si>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</si>
  <si>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</si>
  <si>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</si>
  <si>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</si>
  <si>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</si>
  <si>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</si>
  <si>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</si>
  <si>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</si>
  <si>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</si>
  <si>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</si>
  <si>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</si>
  <si>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</si>
  <si>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</si>
  <si>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</si>
  <si>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</si>
  <si>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</si>
  <si>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</si>
  <si>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</si>
  <si>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</si>
  <si>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</si>
  <si>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</si>
  <si>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</si>
  <si>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</si>
  <si>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</si>
  <si>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</si>
  <si>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</si>
  <si>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</si>
  <si>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</si>
  <si>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</si>
  <si>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</si>
  <si>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</si>
  <si>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</si>
  <si>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</si>
  <si>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</si>
  <si>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</si>
  <si>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</si>
  <si>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</si>
  <si>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</si>
  <si>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</si>
  <si>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</si>
  <si>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</si>
  <si>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</si>
  <si>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</si>
  <si>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</si>
  <si>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</si>
  <si>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</si>
  <si>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</si>
  <si>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</si>
  <si>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</si>
  <si>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</si>
  <si>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</si>
  <si>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</si>
  <si>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</si>
  <si>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</si>
  <si>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</si>
  <si>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</si>
  <si>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</si>
  <si>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</si>
  <si>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</si>
  <si>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</si>
  <si>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</si>
  <si>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</si>
  <si>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</si>
  <si>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</si>
  <si>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</si>
  <si>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</si>
  <si>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</si>
  <si>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</si>
  <si>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</si>
  <si>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</si>
  <si>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</si>
  <si>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</si>
  <si>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</si>
  <si>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</si>
  <si>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</si>
  <si>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</si>
  <si>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</si>
  <si>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</si>
  <si>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</si>
  <si>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</si>
  <si>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</si>
  <si>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</si>
  <si>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</si>
  <si>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</si>
  <si>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</si>
  <si>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</si>
  <si>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</si>
  <si>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</si>
  <si>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</si>
  <si>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</si>
  <si>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</si>
  <si>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</si>
  <si>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</si>
  <si>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</si>
  <si>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</si>
  <si>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</si>
  <si>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</si>
  <si>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</si>
  <si>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</si>
  <si>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</si>
  <si>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</si>
  <si>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</si>
  <si>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</si>
  <si>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</si>
  <si>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</si>
  <si>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</si>
  <si>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</si>
  <si>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</si>
  <si>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</si>
  <si>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</si>
  <si>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</si>
  <si>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</si>
  <si>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</si>
  <si>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</si>
  <si>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</si>
  <si>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</si>
  <si>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</si>
  <si>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</si>
  <si>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</si>
  <si>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</si>
  <si>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</si>
  <si>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</si>
  <si>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</si>
  <si>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</si>
  <si>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</si>
  <si>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</si>
  <si>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</si>
  <si>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</si>
  <si>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</si>
  <si>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</si>
  <si>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</si>
  <si>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</si>
  <si>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</si>
  <si>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</si>
  <si>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</si>
  <si>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</si>
  <si>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</si>
  <si>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</si>
  <si>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</si>
  <si>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</si>
  <si>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</si>
  <si>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</si>
  <si>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</si>
  <si>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</si>
  <si>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</si>
  <si>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</si>
  <si>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</si>
  <si>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</si>
  <si>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</si>
  <si>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</si>
  <si>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</si>
  <si>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</si>
  <si>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</si>
  <si>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</si>
  <si>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</si>
  <si>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</si>
  <si>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</si>
  <si>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</si>
  <si>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</si>
  <si>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</si>
  <si>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</si>
  <si>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</si>
  <si>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</si>
  <si>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</si>
  <si>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</si>
  <si>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</si>
  <si>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</si>
  <si>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</si>
  <si>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</si>
  <si>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</si>
  <si>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</si>
  <si>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</si>
  <si>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</si>
  <si>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</si>
  <si>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</si>
  <si>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</si>
  <si>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</si>
  <si>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</si>
  <si>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</si>
  <si>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</si>
  <si>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</si>
  <si>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</si>
  <si>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</si>
  <si>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</si>
  <si>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</si>
  <si>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</si>
  <si>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</si>
  <si>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</si>
  <si>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</si>
  <si>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</si>
  <si>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</si>
  <si>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</si>
  <si>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</si>
  <si>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</si>
  <si>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</si>
  <si>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</si>
  <si>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</si>
  <si>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</si>
  <si>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</si>
  <si>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</si>
  <si>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</si>
  <si>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</si>
  <si>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</si>
  <si>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</si>
  <si>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</si>
  <si>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</si>
  <si>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</si>
  <si>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</si>
  <si>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</si>
  <si>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</si>
  <si>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</si>
  <si>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</si>
  <si>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</si>
  <si>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</si>
  <si>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</si>
  <si>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</si>
  <si>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</si>
  <si>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</si>
  <si>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</si>
  <si>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</si>
  <si>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</si>
  <si>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</si>
  <si>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</si>
  <si>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</si>
  <si>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</si>
  <si>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</si>
  <si>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</si>
  <si>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</si>
  <si>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</si>
  <si>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</si>
  <si>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</si>
  <si>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</si>
  <si>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</si>
  <si>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</si>
  <si>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</si>
  <si>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</si>
  <si>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</si>
  <si>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</si>
  <si>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</si>
  <si>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</si>
  <si>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</si>
  <si>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</si>
  <si>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</si>
  <si>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</si>
  <si>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</si>
  <si>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</si>
  <si>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</si>
  <si>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</si>
  <si>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</si>
  <si>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</si>
  <si>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</si>
  <si>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</si>
  <si>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</si>
  <si>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</si>
  <si>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</si>
  <si>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</si>
  <si>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</si>
  <si>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</si>
  <si>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</si>
  <si>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</si>
  <si>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</si>
  <si>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</si>
  <si>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</si>
  <si>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</si>
  <si>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</si>
  <si>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</si>
  <si>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</si>
  <si>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</si>
  <si>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</si>
  <si>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</si>
  <si>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</si>
  <si>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</si>
  <si>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</si>
  <si>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</si>
  <si>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</si>
  <si>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</si>
  <si>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</si>
  <si>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</si>
  <si>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</si>
  <si>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</si>
  <si>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</si>
  <si>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</si>
  <si>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</si>
  <si>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</si>
  <si>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</si>
  <si>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</si>
  <si>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</si>
  <si>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</si>
  <si>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</si>
  <si>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</si>
  <si>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</si>
  <si>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</si>
  <si>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</si>
  <si>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</si>
  <si>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</si>
  <si>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</si>
  <si>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</si>
  <si>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</si>
  <si>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</si>
  <si>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</si>
  <si>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</si>
  <si>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</si>
  <si>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</si>
  <si>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</si>
  <si>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</si>
  <si>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</si>
  <si>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</si>
  <si>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</si>
  <si>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</si>
  <si>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</si>
  <si>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</si>
  <si>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</si>
  <si>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</si>
  <si>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</si>
  <si>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</si>
  <si>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</si>
  <si>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</si>
  <si>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</si>
  <si>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</si>
  <si>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</si>
  <si>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</si>
  <si>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</si>
  <si>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</si>
  <si>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</si>
  <si>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</si>
  <si>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</si>
  <si>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</si>
  <si>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</si>
  <si>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</si>
  <si>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</si>
  <si>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</si>
  <si>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</si>
  <si>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</si>
  <si>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</si>
  <si>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</si>
  <si>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</si>
  <si>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</si>
  <si>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</si>
  <si>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</si>
  <si>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</si>
  <si>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</si>
  <si>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</si>
  <si>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</si>
  <si>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</si>
  <si>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</si>
  <si>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</si>
  <si>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</si>
  <si>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</si>
  <si>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</si>
  <si>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</si>
  <si>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</si>
  <si>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</si>
  <si>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</si>
  <si>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</si>
  <si>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</si>
  <si>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</si>
  <si>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</si>
  <si>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</si>
  <si>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</si>
  <si>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</si>
  <si>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</si>
  <si>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</si>
  <si>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</si>
  <si>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</si>
  <si>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</si>
  <si>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</si>
  <si>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</si>
  <si>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</si>
  <si>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</si>
  <si>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</si>
  <si>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</si>
  <si>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</si>
  <si>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</si>
  <si>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</si>
  <si>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</si>
  <si>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</si>
  <si>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</si>
  <si>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</si>
  <si>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</si>
  <si>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</si>
  <si>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</si>
  <si>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</si>
  <si>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</si>
  <si>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</si>
  <si>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</si>
  <si>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</si>
  <si>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</si>
  <si>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</si>
  <si>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</si>
  <si>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</si>
  <si>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</si>
  <si>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</si>
  <si>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</si>
  <si>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</si>
  <si>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</si>
  <si>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</si>
  <si>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</si>
  <si>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</si>
  <si>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</si>
  <si>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</si>
  <si>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</si>
  <si>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</si>
  <si>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</si>
  <si>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</si>
  <si>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</si>
  <si>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</si>
  <si>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</si>
  <si>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</si>
  <si>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</si>
  <si>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</si>
  <si>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</si>
  <si>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</si>
  <si>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</si>
  <si>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</si>
  <si>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</si>
  <si>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</si>
  <si>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</si>
  <si>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</si>
  <si>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</si>
  <si>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</si>
  <si>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</si>
  <si>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</si>
  <si>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</si>
  <si>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</si>
  <si>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</si>
  <si>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</si>
  <si>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</si>
  <si>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</si>
  <si>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</si>
  <si>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</si>
  <si>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</si>
  <si>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</si>
  <si>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</si>
  <si>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</si>
  <si>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</si>
  <si>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</si>
  <si>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</si>
  <si>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</si>
  <si>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</si>
  <si>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</si>
  <si>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</si>
  <si>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</si>
  <si>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</si>
  <si>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</si>
  <si>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</si>
  <si>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</si>
  <si>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</si>
  <si>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</si>
  <si>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</si>
  <si>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</si>
  <si>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</si>
  <si>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</si>
  <si>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</si>
  <si>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</si>
  <si>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</si>
  <si>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</si>
  <si>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</si>
  <si>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</si>
  <si>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</si>
  <si>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</si>
  <si>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</si>
  <si>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</si>
  <si>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</si>
  <si>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</si>
  <si>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</si>
  <si>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</si>
  <si>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</si>
  <si>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</si>
  <si>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</si>
  <si>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</si>
  <si>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</si>
  <si>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</si>
  <si>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</si>
  <si>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</si>
  <si>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</si>
  <si>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</si>
  <si>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</si>
  <si>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</si>
  <si>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</si>
  <si>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</si>
  <si>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</si>
  <si>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</si>
  <si>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</si>
  <si>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</si>
  <si>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</si>
  <si>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</si>
  <si>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</si>
  <si>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</si>
  <si>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</si>
  <si>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</si>
  <si>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</si>
  <si>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</si>
  <si>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</si>
  <si>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</si>
  <si>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</si>
  <si>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</si>
  <si>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</si>
  <si>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</si>
  <si>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</si>
  <si>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</si>
  <si>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</si>
  <si>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</si>
  <si>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</si>
  <si>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</si>
  <si>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</si>
  <si>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</si>
  <si>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</si>
  <si>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</si>
  <si>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</si>
  <si>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</si>
  <si>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</si>
  <si>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</si>
  <si>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</si>
  <si>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</si>
  <si>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</si>
  <si>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</si>
  <si>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</si>
  <si>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</si>
  <si>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</si>
  <si>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</si>
  <si>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</si>
  <si>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</si>
  <si>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</si>
  <si>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</si>
  <si>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</si>
  <si>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</si>
  <si>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</si>
  <si>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</si>
  <si>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</si>
  <si>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</si>
  <si>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</si>
  <si>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</si>
  <si>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</si>
  <si>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</si>
  <si>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</si>
  <si>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</si>
  <si>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</si>
  <si>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</si>
  <si>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</si>
  <si>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</si>
  <si>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</si>
  <si>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</si>
  <si>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</si>
  <si>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</si>
  <si>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</si>
  <si>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</si>
  <si>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</si>
  <si>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</si>
  <si>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</si>
  <si>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</si>
  <si>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</si>
  <si>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</si>
  <si>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</si>
  <si>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</si>
  <si>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</si>
  <si>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</si>
  <si>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</si>
  <si>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</si>
  <si>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</si>
  <si>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</si>
  <si>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</si>
  <si>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</si>
  <si>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</si>
  <si>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</si>
  <si>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</si>
  <si>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</si>
  <si>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</si>
  <si>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</si>
  <si>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</si>
  <si>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</si>
  <si>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</si>
  <si>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</si>
  <si>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</si>
  <si>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</si>
  <si>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</si>
  <si>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</si>
  <si>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</si>
  <si>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</si>
  <si>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</si>
  <si>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</si>
  <si>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</si>
  <si>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</si>
  <si>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</si>
  <si>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</si>
  <si>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</si>
  <si>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</si>
  <si>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</si>
  <si>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</si>
  <si>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</si>
  <si>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</si>
  <si>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</si>
  <si>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</si>
  <si>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</si>
  <si>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</si>
  <si>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</si>
  <si>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</si>
  <si>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</si>
  <si>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</si>
  <si>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</si>
  <si>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</si>
  <si>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</si>
  <si>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</si>
  <si>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</si>
  <si>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</si>
  <si>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</si>
  <si>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</si>
  <si>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</si>
  <si>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</si>
  <si>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</si>
  <si>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</si>
  <si>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</si>
  <si>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</si>
  <si>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</si>
  <si>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</si>
  <si>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</si>
  <si>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</si>
  <si>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</si>
  <si>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</si>
  <si>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</si>
  <si>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</si>
  <si>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</si>
  <si>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</si>
  <si>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</si>
  <si>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</si>
  <si>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</si>
  <si>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</si>
  <si>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</si>
  <si>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</si>
  <si>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</si>
  <si>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</si>
  <si>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</si>
  <si>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</si>
  <si>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</si>
  <si>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</si>
  <si>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</si>
  <si>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</si>
  <si>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</si>
  <si>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</si>
  <si>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</si>
  <si>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</si>
  <si>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</si>
  <si>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</si>
  <si>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</si>
  <si>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</si>
  <si>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</si>
  <si>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</si>
  <si>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</si>
  <si>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</si>
  <si>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</si>
  <si>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</si>
  <si>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</si>
  <si>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</si>
  <si>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</si>
  <si>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</si>
  <si>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</si>
  <si>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</si>
  <si>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</si>
  <si>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</si>
  <si>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</si>
  <si>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</si>
  <si>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</si>
  <si>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</si>
  <si>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</si>
  <si>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</si>
  <si>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</si>
  <si>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</si>
  <si>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</si>
  <si>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</si>
  <si>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</si>
  <si>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</si>
  <si>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</si>
  <si>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</si>
  <si>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</si>
  <si>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</si>
  <si>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</si>
  <si>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</si>
  <si>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</si>
  <si>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</si>
  <si>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</si>
  <si>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</si>
  <si>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</si>
  <si>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</si>
  <si>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</si>
  <si>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</si>
  <si>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</si>
  <si>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</si>
  <si>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</si>
  <si>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</si>
  <si>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</si>
  <si>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</si>
  <si>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</si>
  <si>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</si>
  <si>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</si>
  <si>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</si>
  <si>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</si>
  <si>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</si>
  <si>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</si>
  <si>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</si>
  <si>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</si>
  <si>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</si>
  <si>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</si>
  <si>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</si>
  <si>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</si>
  <si>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</si>
  <si>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</si>
  <si>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</si>
  <si>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</si>
  <si>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</si>
  <si>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</si>
  <si>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</si>
  <si>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</si>
  <si>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</si>
  <si>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</si>
  <si>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</si>
  <si>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</si>
  <si>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</si>
  <si>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</si>
  <si>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</si>
  <si>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</si>
  <si>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</si>
  <si>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</si>
  <si>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</si>
  <si>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</si>
  <si>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</si>
  <si>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</si>
  <si>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</si>
  <si>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</si>
  <si>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</si>
  <si>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</si>
  <si>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</si>
  <si>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</si>
  <si>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</si>
  <si>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</si>
  <si>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</si>
  <si>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</si>
  <si>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</si>
  <si>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</si>
  <si>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</si>
  <si>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</si>
  <si>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</si>
  <si>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</si>
  <si>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</si>
  <si>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</si>
  <si>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</si>
  <si>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</si>
  <si>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</si>
  <si>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</si>
  <si>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</si>
  <si>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</si>
  <si>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</si>
  <si>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</si>
  <si>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</si>
  <si>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</si>
  <si>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</si>
  <si>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</si>
  <si>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</si>
  <si>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</si>
  <si>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</si>
  <si>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</si>
  <si>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</si>
  <si>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</si>
  <si>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</si>
  <si>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</si>
  <si>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</si>
  <si>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</si>
  <si>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</si>
  <si>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</si>
  <si>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</si>
  <si>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</si>
  <si>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</si>
  <si>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</si>
  <si>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</si>
  <si>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</si>
  <si>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</si>
  <si>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</si>
  <si>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</si>
  <si>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</si>
  <si>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</si>
  <si>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</si>
  <si>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</si>
  <si>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</si>
  <si>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</si>
  <si>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</si>
  <si>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</si>
  <si>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</si>
  <si>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</si>
  <si>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</si>
  <si>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</si>
  <si>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</si>
  <si>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</si>
  <si>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</si>
  <si>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</si>
  <si>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</si>
  <si>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</si>
  <si>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</si>
  <si>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</si>
  <si>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</si>
  <si>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</si>
  <si>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</si>
  <si>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</si>
  <si>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</si>
  <si>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</si>
  <si>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</si>
  <si>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</si>
  <si>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</si>
  <si>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</si>
  <si>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</si>
  <si>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</si>
  <si>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</si>
  <si>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</si>
  <si>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</si>
  <si>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</si>
  <si>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</si>
  <si>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</si>
  <si>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</si>
  <si>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</si>
  <si>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</si>
  <si>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</si>
  <si>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</si>
  <si>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</si>
  <si>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</si>
  <si>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</si>
  <si>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</si>
  <si>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</si>
  <si>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</si>
  <si>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</si>
  <si>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</si>
  <si>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</si>
  <si>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</si>
  <si>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</si>
  <si>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</si>
  <si>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</si>
  <si>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</si>
  <si>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</si>
  <si>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</si>
  <si>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</si>
  <si>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</si>
  <si>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</si>
  <si>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</si>
  <si>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</si>
  <si>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</si>
  <si>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</si>
  <si>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</si>
  <si>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</si>
  <si>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</si>
  <si>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</si>
  <si>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</si>
  <si>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</si>
  <si>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</si>
  <si>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</si>
  <si>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</si>
  <si>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</si>
  <si>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</si>
  <si>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</si>
  <si>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</si>
  <si>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</si>
  <si>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</si>
  <si>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</si>
  <si>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</si>
  <si>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</si>
  <si>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</si>
  <si>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</si>
  <si>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</si>
  <si>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</si>
  <si>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</si>
  <si>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</si>
  <si>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</si>
  <si>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</si>
  <si>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</si>
  <si>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</si>
  <si>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</si>
  <si>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</si>
  <si>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</si>
  <si>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</si>
  <si>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</si>
  <si>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</si>
  <si>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</si>
  <si>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</si>
  <si>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</si>
  <si>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</si>
  <si>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</si>
  <si>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</si>
  <si>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</si>
  <si>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</si>
  <si>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</si>
  <si>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</si>
  <si>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</si>
  <si>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</si>
  <si>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</si>
  <si>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</si>
  <si>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</si>
  <si>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</si>
  <si>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</si>
  <si>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</si>
  <si>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</si>
  <si>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</si>
  <si>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</si>
  <si>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</si>
  <si>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</si>
  <si>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</si>
  <si>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</si>
  <si>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</si>
  <si>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</si>
  <si>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</si>
  <si>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</si>
  <si>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</si>
  <si>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</si>
  <si>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</si>
  <si>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</si>
  <si>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</si>
  <si>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</si>
  <si>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</si>
  <si>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</si>
  <si>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</si>
  <si>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</si>
  <si>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</si>
  <si>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</si>
  <si>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</si>
  <si>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</si>
  <si>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</si>
  <si>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</si>
  <si>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</si>
  <si>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</si>
  <si>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</si>
  <si>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</si>
  <si>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</si>
  <si>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</si>
  <si>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</si>
  <si>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</si>
  <si>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</si>
  <si>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</si>
  <si>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</si>
  <si>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</si>
  <si>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</si>
  <si>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</si>
  <si>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</si>
  <si>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</si>
  <si>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</si>
  <si>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</si>
  <si>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</si>
  <si>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</si>
  <si>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</si>
  <si>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</si>
  <si>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</si>
  <si>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</si>
  <si>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</si>
  <si>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</si>
  <si>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</si>
  <si>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</si>
  <si>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</si>
  <si>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</si>
  <si>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</si>
  <si>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</si>
  <si>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</si>
  <si>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</si>
  <si>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</si>
  <si>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</si>
  <si>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</si>
  <si>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</si>
  <si>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</si>
  <si>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</si>
  <si>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</si>
  <si>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</si>
  <si>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</si>
  <si>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</si>
  <si>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</si>
  <si>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</si>
  <si>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</si>
  <si>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</si>
  <si>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</si>
  <si>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</si>
  <si>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</si>
  <si>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</si>
  <si>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</si>
  <si>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</si>
  <si>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</si>
  <si>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</si>
  <si>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</si>
  <si>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</si>
  <si>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</si>
  <si>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</si>
  <si>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</si>
  <si>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</si>
  <si>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</si>
  <si>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</si>
  <si>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</si>
  <si>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</si>
  <si>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</si>
  <si>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</si>
  <si>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</si>
  <si>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</si>
  <si>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</si>
  <si>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</si>
  <si>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</si>
  <si>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</si>
  <si>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</si>
  <si>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</si>
  <si>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</si>
  <si>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</si>
  <si>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</si>
  <si>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</si>
  <si>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</si>
  <si>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</si>
  <si>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</si>
  <si>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</si>
  <si>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</si>
  <si>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</si>
  <si>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</si>
  <si>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</si>
  <si>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</si>
  <si>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</si>
  <si>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</si>
  <si>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</si>
  <si>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</si>
  <si>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</si>
  <si>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</si>
  <si>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</si>
  <si>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</si>
  <si>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</si>
  <si>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</si>
  <si>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</si>
  <si>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</si>
  <si>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</si>
  <si>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</si>
  <si>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</si>
  <si>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</si>
  <si>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</si>
  <si>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</si>
  <si>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</si>
  <si>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</si>
  <si>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</si>
  <si>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</si>
  <si>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</si>
  <si>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</si>
  <si>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</si>
  <si>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</si>
  <si>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</si>
  <si>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</si>
  <si>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</si>
  <si>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</si>
  <si>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</si>
  <si>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</si>
  <si>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</si>
  <si>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</si>
  <si>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</si>
  <si>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</si>
  <si>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</si>
  <si>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</si>
  <si>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</si>
  <si>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</si>
  <si>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</si>
  <si>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</si>
  <si>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</si>
  <si>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</si>
  <si>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</si>
  <si>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</si>
  <si>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</si>
  <si>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</si>
  <si>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</si>
  <si>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</si>
  <si>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</si>
  <si>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</si>
  <si>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</si>
  <si>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</si>
  <si>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</si>
  <si>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</si>
  <si>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</si>
  <si>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</si>
  <si>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</si>
  <si>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</si>
  <si>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</si>
  <si>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</si>
  <si>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</si>
  <si>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</si>
  <si>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</si>
  <si>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</si>
  <si>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</si>
  <si>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</si>
  <si>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</si>
  <si>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</si>
  <si>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</si>
  <si>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</si>
  <si>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</si>
  <si>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</si>
  <si>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</si>
  <si>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21507021048</t>
  </si>
  <si>
    <t>02341603</t>
  </si>
  <si>
    <t>080644917</t>
  </si>
  <si>
    <t>ZELENJAK PLIN d.o.o.</t>
  </si>
  <si>
    <t>KLANJEC</t>
  </si>
  <si>
    <t>TRG ANTUNA MIHANOVIĆA 1</t>
  </si>
  <si>
    <t>info@zelenjak-plin.hr</t>
  </si>
  <si>
    <t>049/551-049</t>
  </si>
  <si>
    <t>www.zelenjak-plin.hr</t>
  </si>
  <si>
    <t>TIHOMIR KUŠANIĆ</t>
  </si>
  <si>
    <t>tihomir.kusanic@zelenjak-plin.hr</t>
  </si>
  <si>
    <t>ILIĆ ŽELJKO</t>
  </si>
  <si>
    <t>03392546</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</si>
</sst>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147320.41999999998</v>
      </c>
      <c r="I3" s="31">
        <f>ABS(ROUND(J3,0)-J3)+ABS(ROUND(K3,0)-K3)</f>
        <v>0</v>
      </c>
      <c r="J3" s="31">
        <f>Bilanca!I10</f>
        <v>2307819</v>
      </c>
      <c r="K3" s="31">
        <f>Bilanca!J10</f>
        <v>2529101</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02341603</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080644917</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21507021048</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ZELENJAK PLIN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49290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KLANJEC</v>
      </c>
      <c r="D11" s="4" t="s">
        <v>1521</v>
      </c>
      <c r="E11" s="4">
        <v>1</v>
      </c>
      <c r="F11" s="4">
        <f>Bilanca!G18</f>
        <v>10</v>
      </c>
      <c r="G11" s="4">
        <f>IF(Bilanca!H18=0,"",Bilanca!H18)</f>
      </c>
      <c r="H11" s="30">
        <f t="shared" si="0"/>
        <v>736602.1</v>
      </c>
      <c r="I11" s="31">
        <f t="shared" si="1"/>
        <v>0</v>
      </c>
      <c r="J11" s="31">
        <f>Bilanca!I18</f>
        <v>2307819</v>
      </c>
      <c r="K11" s="31">
        <f>Bilanca!J18</f>
        <v>2529101</v>
      </c>
    </row>
    <row r="12" spans="1:11" ht="12.75">
      <c r="A12" s="4" t="s">
        <v>2357</v>
      </c>
      <c r="B12" s="29" t="str">
        <f>TRIM(RefStr!C33)</f>
        <v>TRG ANTUNA MIHANOVIĆA 1</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info@zelenjak-plin.hr</v>
      </c>
      <c r="D13" s="4" t="s">
        <v>1521</v>
      </c>
      <c r="E13" s="4">
        <v>1</v>
      </c>
      <c r="F13" s="4">
        <f>Bilanca!G20</f>
        <v>12</v>
      </c>
      <c r="G13" s="4">
        <f>IF(Bilanca!H20=0,"",Bilanca!H20)</f>
      </c>
      <c r="H13" s="30">
        <f t="shared" si="0"/>
        <v>835994.6400000001</v>
      </c>
      <c r="I13" s="31">
        <f t="shared" si="1"/>
        <v>0</v>
      </c>
      <c r="J13" s="31">
        <f>Bilanca!I20</f>
        <v>2146392</v>
      </c>
      <c r="K13" s="31">
        <f>Bilanca!J20</f>
        <v>2410115</v>
      </c>
    </row>
    <row r="14" spans="1:11" ht="12.75">
      <c r="A14" s="4" t="s">
        <v>1194</v>
      </c>
      <c r="B14" s="29" t="str">
        <f>TRIM(RefStr!C37)</f>
        <v>www.zelenjak-plin.hr</v>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02</v>
      </c>
      <c r="D15" s="4" t="s">
        <v>1521</v>
      </c>
      <c r="E15" s="4">
        <v>1</v>
      </c>
      <c r="F15" s="4">
        <f>Bilanca!G22</f>
        <v>14</v>
      </c>
      <c r="G15" s="4">
        <f>IF(Bilanca!H22=0,"",Bilanca!H22)</f>
      </c>
      <c r="H15" s="30">
        <f t="shared" si="0"/>
        <v>55915.85999999999</v>
      </c>
      <c r="I15" s="31">
        <f t="shared" si="1"/>
        <v>0</v>
      </c>
      <c r="J15" s="31">
        <f>Bilanca!I22</f>
        <v>161427</v>
      </c>
      <c r="K15" s="31">
        <f>Bilanca!J22</f>
        <v>118986</v>
      </c>
    </row>
    <row r="16" spans="1:11" ht="12.75">
      <c r="A16" s="4" t="s">
        <v>2359</v>
      </c>
      <c r="B16" s="29" t="str">
        <f>TEXT(RefStr!C39,"000")</f>
        <v>187</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3522</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1</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9</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9</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10</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2043441.5499999998</v>
      </c>
      <c r="I38" s="31">
        <f t="shared" si="1"/>
        <v>0</v>
      </c>
      <c r="J38" s="31">
        <f>Bilanca!I45</f>
        <v>1823909</v>
      </c>
      <c r="K38" s="31">
        <f>Bilanca!J45</f>
        <v>1849453</v>
      </c>
    </row>
    <row r="39" spans="1:11" ht="12.75">
      <c r="A39" s="4" t="s">
        <v>1216</v>
      </c>
      <c r="B39" s="29" t="str">
        <f>RefStr!C68</f>
        <v>TIHOMIR KUŠANIĆ</v>
      </c>
      <c r="D39" s="4" t="s">
        <v>1521</v>
      </c>
      <c r="E39" s="4">
        <v>1</v>
      </c>
      <c r="F39" s="4">
        <f>Bilanca!G46</f>
        <v>38</v>
      </c>
      <c r="G39" s="4">
        <f>IF(Bilanca!H46=0,"",Bilanca!H46)</f>
      </c>
      <c r="H39" s="30">
        <f t="shared" si="0"/>
        <v>96809.18</v>
      </c>
      <c r="I39" s="31">
        <f t="shared" si="1"/>
        <v>0</v>
      </c>
      <c r="J39" s="31">
        <f>Bilanca!I46</f>
        <v>89687</v>
      </c>
      <c r="K39" s="31">
        <f>Bilanca!J46</f>
        <v>82537</v>
      </c>
    </row>
    <row r="40" spans="1:11" ht="12.75">
      <c r="A40" s="4" t="s">
        <v>1217</v>
      </c>
      <c r="B40" s="29" t="str">
        <f>TRIM(RefStr!C70)</f>
        <v>049/551-049</v>
      </c>
      <c r="D40" s="4" t="s">
        <v>1521</v>
      </c>
      <c r="E40" s="4">
        <v>1</v>
      </c>
      <c r="F40" s="4">
        <f>Bilanca!G47</f>
        <v>39</v>
      </c>
      <c r="G40" s="4">
        <f>IF(Bilanca!H47=0,"",Bilanca!H47)</f>
      </c>
      <c r="H40" s="30">
        <f t="shared" si="0"/>
        <v>97460.22</v>
      </c>
      <c r="I40" s="31">
        <f t="shared" si="1"/>
        <v>0</v>
      </c>
      <c r="J40" s="31">
        <f>Bilanca!I47</f>
        <v>88066</v>
      </c>
      <c r="K40" s="31">
        <f>Bilanca!J47</f>
        <v>80916</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tihomir.kusanic@zelenjak-plin.hr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ILIĆ ŽELJKO</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2091.09</v>
      </c>
      <c r="I44" s="31">
        <f t="shared" si="1"/>
        <v>0</v>
      </c>
      <c r="J44" s="31">
        <f>Bilanca!I51</f>
        <v>1621</v>
      </c>
      <c r="K44" s="31">
        <f>Bilanca!J51</f>
        <v>1621</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1958804.66</v>
      </c>
      <c r="I47" s="31">
        <f t="shared" si="3"/>
        <v>0</v>
      </c>
      <c r="J47" s="31">
        <f>Bilanca!I54</f>
        <v>1507651</v>
      </c>
      <c r="K47" s="31">
        <f>Bilanca!J54</f>
        <v>1375310</v>
      </c>
    </row>
    <row r="48" spans="1:11" ht="12.75">
      <c r="A48" s="4" t="s">
        <v>1918</v>
      </c>
      <c r="B48" s="29" t="str">
        <f>RefStr!I54</f>
        <v>DA</v>
      </c>
      <c r="D48" s="4" t="s">
        <v>1521</v>
      </c>
      <c r="E48" s="4">
        <v>1</v>
      </c>
      <c r="F48" s="4">
        <f>Bilanca!G55</f>
        <v>47</v>
      </c>
      <c r="G48" s="4">
        <f>IF(Bilanca!H55=0,"",Bilanca!H55)</f>
      </c>
      <c r="H48" s="30">
        <f t="shared" si="2"/>
        <v>5649.87</v>
      </c>
      <c r="I48" s="31">
        <f t="shared" si="3"/>
        <v>0</v>
      </c>
      <c r="J48" s="31">
        <f>Bilanca!I55</f>
        <v>4083</v>
      </c>
      <c r="K48" s="31">
        <f>Bilanca!J55</f>
        <v>3969</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2074568.8599999999</v>
      </c>
      <c r="I50" s="31">
        <f t="shared" si="3"/>
        <v>0</v>
      </c>
      <c r="J50" s="31">
        <f>Bilanca!I57</f>
        <v>1491132</v>
      </c>
      <c r="K50" s="31">
        <f>Bilanca!J57</f>
        <v>1371341</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6342.36</v>
      </c>
      <c r="I52" s="31">
        <f t="shared" si="3"/>
        <v>0</v>
      </c>
      <c r="J52" s="31">
        <f>Bilanca!I59</f>
        <v>12436</v>
      </c>
      <c r="K52" s="31">
        <f>Bilanca!J59</f>
        <v>0</v>
      </c>
    </row>
    <row r="53" spans="1:11" ht="12.75">
      <c r="A53" s="4" t="s">
        <v>532</v>
      </c>
      <c r="B53" s="29" t="str">
        <f>RefStr!I56</f>
        <v>NE</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NE</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NE</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562459936.85</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636163.29</v>
      </c>
      <c r="I64" s="31">
        <f t="shared" si="3"/>
        <v>0</v>
      </c>
      <c r="J64" s="31">
        <f>Bilanca!I71</f>
        <v>226571</v>
      </c>
      <c r="K64" s="31">
        <f>Bilanca!J71</f>
        <v>391606</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8377743.4</v>
      </c>
      <c r="I66" s="31">
        <f t="shared" si="3"/>
        <v>0</v>
      </c>
      <c r="J66" s="31">
        <f>Bilanca!I73</f>
        <v>4131728</v>
      </c>
      <c r="K66" s="31">
        <f>Bilanca!J73</f>
        <v>4378554</v>
      </c>
    </row>
    <row r="67" spans="1:11" ht="12.75">
      <c r="A67" s="4" t="s">
        <v>689</v>
      </c>
      <c r="B67" s="29" t="str">
        <f>RefStr!L35</f>
        <v>049/551-049</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2</v>
      </c>
      <c r="D68" s="4" t="s">
        <v>1521</v>
      </c>
      <c r="E68" s="4">
        <v>1</v>
      </c>
      <c r="F68" s="4">
        <f>Bilanca!G76</f>
        <v>67</v>
      </c>
      <c r="G68" s="4">
        <f>IF(Bilanca!H76=0,"",Bilanca!H76)</f>
      </c>
      <c r="H68" s="30">
        <f t="shared" si="2"/>
        <v>3403752.76</v>
      </c>
      <c r="I68" s="31">
        <f t="shared" si="3"/>
        <v>0</v>
      </c>
      <c r="J68" s="31">
        <f>Bilanca!I76</f>
        <v>1460796</v>
      </c>
      <c r="K68" s="31">
        <f>Bilanca!J76</f>
        <v>1809716</v>
      </c>
    </row>
    <row r="69" spans="1:11" ht="12.75">
      <c r="A69" s="4" t="s">
        <v>691</v>
      </c>
      <c r="B69" s="29" t="str">
        <f>RefStr!M46</f>
        <v>03392546</v>
      </c>
      <c r="D69" s="4" t="s">
        <v>1521</v>
      </c>
      <c r="E69" s="4">
        <v>1</v>
      </c>
      <c r="F69" s="4">
        <f>Bilanca!G77</f>
        <v>68</v>
      </c>
      <c r="G69" s="4">
        <f>IF(Bilanca!H77=0,"",Bilanca!H77)</f>
      </c>
      <c r="H69" s="30">
        <f t="shared" si="2"/>
        <v>644640</v>
      </c>
      <c r="I69" s="31">
        <f t="shared" si="3"/>
        <v>0</v>
      </c>
      <c r="J69" s="31">
        <f>Bilanca!I77</f>
        <v>316000</v>
      </c>
      <c r="K69" s="31">
        <f>Bilanca!J77</f>
        <v>316000</v>
      </c>
    </row>
    <row r="70" spans="1:11" ht="12.75">
      <c r="A70" s="4" t="s">
        <v>692</v>
      </c>
      <c r="B70" s="29">
        <f>RefStr!C46</f>
        <v>0</v>
      </c>
      <c r="D70" s="4" t="s">
        <v>1521</v>
      </c>
      <c r="E70" s="4">
        <v>1</v>
      </c>
      <c r="F70" s="4">
        <f>Bilanca!G78</f>
        <v>69</v>
      </c>
      <c r="G70" s="4">
        <f>IF(Bilanca!H78=0,"",Bilanca!H78)</f>
      </c>
      <c r="H70" s="30">
        <f t="shared" si="2"/>
        <v>1259539.1099999999</v>
      </c>
      <c r="I70" s="31">
        <f t="shared" si="3"/>
        <v>0</v>
      </c>
      <c r="J70" s="31">
        <f>Bilanca!I78</f>
        <v>608473</v>
      </c>
      <c r="K70" s="31">
        <f>Bilanca!J78</f>
        <v>608473</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1175520.6</v>
      </c>
      <c r="I82" s="31">
        <f t="shared" si="3"/>
        <v>0</v>
      </c>
      <c r="J82" s="31">
        <f>Bilanca!I90</f>
        <v>457468</v>
      </c>
      <c r="K82" s="31">
        <f>Bilanca!J90</f>
        <v>496896</v>
      </c>
    </row>
    <row r="83" spans="4:11" ht="12.75">
      <c r="D83" s="4" t="s">
        <v>1521</v>
      </c>
      <c r="E83" s="4">
        <v>1</v>
      </c>
      <c r="F83" s="4">
        <f>Bilanca!G91</f>
        <v>82</v>
      </c>
      <c r="G83" s="4">
        <f>IF(Bilanca!H91=0,"",Bilanca!H91)</f>
      </c>
      <c r="H83" s="30">
        <f t="shared" si="2"/>
        <v>1190033.2000000002</v>
      </c>
      <c r="I83" s="31">
        <f t="shared" si="3"/>
        <v>0</v>
      </c>
      <c r="J83" s="31">
        <f>Bilanca!I91</f>
        <v>457468</v>
      </c>
      <c r="K83" s="31">
        <f>Bilanca!J91</f>
        <v>496896</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718661.1599999999</v>
      </c>
      <c r="I85" s="31">
        <f>ABS(ROUND(J85,0)-J85)+ABS(ROUND(K85,0)-K85)</f>
        <v>0</v>
      </c>
      <c r="J85" s="31">
        <f>Bilanca!I93</f>
        <v>78855</v>
      </c>
      <c r="K85" s="31">
        <f>Bilanca!J93</f>
        <v>388347</v>
      </c>
    </row>
    <row r="86" spans="4:11" ht="12.75">
      <c r="D86" s="4" t="s">
        <v>1521</v>
      </c>
      <c r="E86" s="4">
        <v>1</v>
      </c>
      <c r="F86" s="4">
        <f>Bilanca!G94</f>
        <v>85</v>
      </c>
      <c r="G86" s="4">
        <f>IF(Bilanca!H94=0,"",Bilanca!H94)</f>
      </c>
      <c r="H86" s="30">
        <f>J86/100*F86+2*K86/100*F86</f>
        <v>727216.65</v>
      </c>
      <c r="I86" s="31">
        <f>ABS(ROUND(J86,0)-J86)+ABS(ROUND(K86,0)-K86)</f>
        <v>0</v>
      </c>
      <c r="J86" s="31">
        <f>Bilanca!I94</f>
        <v>78855</v>
      </c>
      <c r="K86" s="31">
        <f>Bilanca!J94</f>
        <v>388347</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71976.08</v>
      </c>
      <c r="I89" s="31">
        <f t="shared" si="5"/>
        <v>0</v>
      </c>
      <c r="J89" s="31">
        <f>Bilanca!I97</f>
        <v>29853</v>
      </c>
      <c r="K89" s="31">
        <f>Bilanca!J97</f>
        <v>25969</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76883.54</v>
      </c>
      <c r="I95" s="31">
        <f t="shared" si="5"/>
        <v>0</v>
      </c>
      <c r="J95" s="31">
        <f>Bilanca!I103</f>
        <v>29853</v>
      </c>
      <c r="K95" s="31">
        <f>Bilanca!J103</f>
        <v>25969</v>
      </c>
    </row>
    <row r="96" spans="4:11" ht="12.75">
      <c r="D96" s="4" t="s">
        <v>1521</v>
      </c>
      <c r="E96" s="4">
        <v>1</v>
      </c>
      <c r="F96" s="4">
        <f>Bilanca!G104</f>
        <v>95</v>
      </c>
      <c r="G96" s="4">
        <f>IF(Bilanca!H104=0,"",Bilanca!H104)</f>
      </c>
      <c r="H96" s="30">
        <f t="shared" si="4"/>
        <v>226308.05</v>
      </c>
      <c r="I96" s="31">
        <f t="shared" si="5"/>
        <v>0</v>
      </c>
      <c r="J96" s="31">
        <f>Bilanca!I104</f>
        <v>102431</v>
      </c>
      <c r="K96" s="31">
        <f>Bilanca!J104</f>
        <v>67894</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238219</v>
      </c>
      <c r="I101" s="31">
        <f t="shared" si="5"/>
        <v>0</v>
      </c>
      <c r="J101" s="31">
        <f>Bilanca!I109</f>
        <v>102431</v>
      </c>
      <c r="K101" s="31">
        <f>Bilanca!J109</f>
        <v>67894</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3472994.2300000004</v>
      </c>
      <c r="I108" s="31">
        <f t="shared" si="5"/>
        <v>0</v>
      </c>
      <c r="J108" s="31">
        <f>Bilanca!I116</f>
        <v>1284037</v>
      </c>
      <c r="K108" s="31">
        <f>Bilanca!J116</f>
        <v>980876</v>
      </c>
    </row>
    <row r="109" spans="4:11" ht="12.75">
      <c r="D109" s="4" t="s">
        <v>1521</v>
      </c>
      <c r="E109" s="4">
        <v>1</v>
      </c>
      <c r="F109" s="4">
        <f>Bilanca!G117</f>
        <v>108</v>
      </c>
      <c r="G109" s="4">
        <f>IF(Bilanca!H117=0,"",Bilanca!H117)</f>
      </c>
      <c r="H109" s="30">
        <f t="shared" si="4"/>
        <v>239942.52000000002</v>
      </c>
      <c r="I109" s="31">
        <f t="shared" si="5"/>
        <v>0</v>
      </c>
      <c r="J109" s="31">
        <f>Bilanca!I117</f>
        <v>113567</v>
      </c>
      <c r="K109" s="31">
        <f>Bilanca!J117</f>
        <v>54301</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2652608.4</v>
      </c>
      <c r="I116" s="31">
        <f t="shared" si="5"/>
        <v>0</v>
      </c>
      <c r="J116" s="31">
        <f>Bilanca!I124</f>
        <v>915422</v>
      </c>
      <c r="K116" s="31">
        <f>Bilanca!J124</f>
        <v>695597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197491.32</v>
      </c>
      <c r="I118" s="31">
        <f t="shared" si="5"/>
        <v>0</v>
      </c>
      <c r="J118" s="31">
        <f>Bilanca!I126</f>
        <v>57528</v>
      </c>
      <c r="K118" s="31">
        <f>Bilanca!J126</f>
        <v>55634</v>
      </c>
    </row>
    <row r="119" spans="4:11" ht="12.75">
      <c r="D119" s="4" t="s">
        <v>1521</v>
      </c>
      <c r="E119" s="4">
        <v>1</v>
      </c>
      <c r="F119" s="4">
        <f>Bilanca!G127</f>
        <v>118</v>
      </c>
      <c r="G119" s="4">
        <f>IF(Bilanca!H127=0,"",Bilanca!H127)</f>
      </c>
      <c r="H119" s="30">
        <f t="shared" si="4"/>
        <v>394540.08</v>
      </c>
      <c r="I119" s="31">
        <f t="shared" si="5"/>
        <v>0</v>
      </c>
      <c r="J119" s="31">
        <f>Bilanca!I127</f>
        <v>62522</v>
      </c>
      <c r="K119" s="31">
        <f>Bilanca!J127</f>
        <v>135917</v>
      </c>
    </row>
    <row r="120" spans="4:11" ht="12.75">
      <c r="D120" s="4" t="s">
        <v>1521</v>
      </c>
      <c r="E120" s="4">
        <v>1</v>
      </c>
      <c r="F120" s="4">
        <f>Bilanca!G128</f>
        <v>119</v>
      </c>
      <c r="G120" s="4">
        <f>IF(Bilanca!H128=0,"",Bilanca!H128)</f>
      </c>
      <c r="H120" s="30">
        <f t="shared" si="4"/>
        <v>254483.88</v>
      </c>
      <c r="I120" s="31">
        <f t="shared" si="5"/>
        <v>0</v>
      </c>
      <c r="J120" s="31">
        <f>Bilanca!I128</f>
        <v>134998</v>
      </c>
      <c r="K120" s="31">
        <f>Bilanca!J128</f>
        <v>39427</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5176226.98</v>
      </c>
      <c r="I123" s="31">
        <f t="shared" si="5"/>
        <v>0</v>
      </c>
      <c r="J123" s="31">
        <f>Bilanca!I131</f>
        <v>1254611</v>
      </c>
      <c r="K123" s="31">
        <f>Bilanca!J131</f>
        <v>1494099</v>
      </c>
    </row>
    <row r="124" spans="4:11" ht="12.75">
      <c r="D124" s="4" t="s">
        <v>1521</v>
      </c>
      <c r="E124" s="4">
        <v>1</v>
      </c>
      <c r="F124" s="4">
        <f>Bilanca!G132</f>
        <v>123</v>
      </c>
      <c r="G124" s="4">
        <f>IF(Bilanca!H132=0,"",Bilanca!H132)</f>
      </c>
      <c r="H124" s="30">
        <f t="shared" si="4"/>
        <v>15853268.28</v>
      </c>
      <c r="I124" s="31">
        <f t="shared" si="5"/>
        <v>0</v>
      </c>
      <c r="J124" s="31">
        <f>Bilanca!I132</f>
        <v>4131728</v>
      </c>
      <c r="K124" s="31">
        <f>Bilanca!J132</f>
        <v>4378554</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23942240</v>
      </c>
      <c r="I126" s="4">
        <f t="shared" si="5"/>
        <v>0</v>
      </c>
      <c r="J126" s="31">
        <f>RDG!I8</f>
        <v>6178936</v>
      </c>
      <c r="K126" s="31">
        <f>RDG!J8</f>
        <v>6487428</v>
      </c>
    </row>
    <row r="127" spans="4:11" ht="12.75">
      <c r="D127" s="4" t="s">
        <v>541</v>
      </c>
      <c r="E127" s="4">
        <v>2</v>
      </c>
      <c r="F127" s="4">
        <f>RDG!G9</f>
        <v>126</v>
      </c>
      <c r="G127" s="4">
        <f>IF(RDG!H9=0,"",RDG!H9)</f>
      </c>
      <c r="H127" s="30">
        <f t="shared" si="4"/>
        <v>75627.72</v>
      </c>
      <c r="I127" s="4">
        <f t="shared" si="5"/>
        <v>0</v>
      </c>
      <c r="J127" s="31">
        <f>RDG!I9</f>
        <v>17914</v>
      </c>
      <c r="K127" s="31">
        <f>RDG!J9</f>
        <v>21054</v>
      </c>
    </row>
    <row r="128" spans="4:11" ht="12.75">
      <c r="D128" s="4" t="s">
        <v>541</v>
      </c>
      <c r="E128" s="4">
        <v>2</v>
      </c>
      <c r="F128" s="4">
        <f>RDG!G10</f>
        <v>127</v>
      </c>
      <c r="G128" s="4">
        <f>IF(RDG!H10=0,"",RDG!H10)</f>
      </c>
      <c r="H128" s="30">
        <f aca="true" t="shared" si="6" ref="H128:H190">J128/100*F128+2*K128/100*F128</f>
        <v>22664802.27</v>
      </c>
      <c r="I128" s="4">
        <f aca="true" t="shared" si="7" ref="I128:I190">ABS(ROUND(J128,0)-J128)+ABS(ROUND(K128,0)-K128)</f>
        <v>0</v>
      </c>
      <c r="J128" s="31">
        <f>RDG!I10</f>
        <v>5805675</v>
      </c>
      <c r="K128" s="31">
        <f>RDG!J10</f>
        <v>6020313</v>
      </c>
    </row>
    <row r="129" spans="4:11" ht="12.75">
      <c r="D129" s="4" t="s">
        <v>541</v>
      </c>
      <c r="E129" s="4">
        <v>2</v>
      </c>
      <c r="F129" s="4">
        <f>RDG!G11</f>
        <v>128</v>
      </c>
      <c r="G129" s="4">
        <f>IF(RDG!H11=0,"",RDG!H11)</f>
      </c>
      <c r="H129" s="30">
        <f t="shared" si="6"/>
        <v>338119.68</v>
      </c>
      <c r="I129" s="4">
        <f t="shared" si="7"/>
        <v>0</v>
      </c>
      <c r="J129" s="31">
        <f>RDG!I11</f>
        <v>134078</v>
      </c>
      <c r="K129" s="31">
        <f>RDG!J11</f>
        <v>65039</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1278306.9</v>
      </c>
      <c r="I131" s="4">
        <f t="shared" si="7"/>
        <v>0</v>
      </c>
      <c r="J131" s="31">
        <f>RDG!I13</f>
        <v>221269</v>
      </c>
      <c r="K131" s="31">
        <f>RDG!J13</f>
        <v>381022</v>
      </c>
    </row>
    <row r="132" spans="4:11" ht="12.75">
      <c r="D132" s="4" t="s">
        <v>541</v>
      </c>
      <c r="E132" s="4">
        <v>2</v>
      </c>
      <c r="F132" s="4">
        <f>RDG!G14</f>
        <v>131</v>
      </c>
      <c r="G132" s="4">
        <f>IF(RDG!H14=0,"",RDG!H14)</f>
      </c>
      <c r="H132" s="30">
        <f t="shared" si="6"/>
        <v>23790456.740000002</v>
      </c>
      <c r="I132" s="4">
        <f t="shared" si="7"/>
        <v>0</v>
      </c>
      <c r="J132" s="31">
        <f>RDG!I14</f>
        <v>6081110</v>
      </c>
      <c r="K132" s="31">
        <f>RDG!J14</f>
        <v>6039772</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17570035.490000002</v>
      </c>
      <c r="I134" s="4">
        <f t="shared" si="7"/>
        <v>0</v>
      </c>
      <c r="J134" s="31">
        <f>RDG!I16</f>
        <v>4460743</v>
      </c>
      <c r="K134" s="31">
        <f>RDG!J16</f>
        <v>4374905</v>
      </c>
    </row>
    <row r="135" spans="4:11" ht="12.75">
      <c r="D135" s="4" t="s">
        <v>541</v>
      </c>
      <c r="E135" s="4">
        <v>2</v>
      </c>
      <c r="F135" s="4">
        <f>RDG!G17</f>
        <v>134</v>
      </c>
      <c r="G135" s="4">
        <f>IF(RDG!H17=0,"",RDG!H17)</f>
      </c>
      <c r="H135" s="30">
        <f t="shared" si="6"/>
        <v>1303296.06</v>
      </c>
      <c r="I135" s="4">
        <f t="shared" si="7"/>
        <v>0</v>
      </c>
      <c r="J135" s="31">
        <f>RDG!I17</f>
        <v>292873</v>
      </c>
      <c r="K135" s="31">
        <f>RDG!J17</f>
        <v>339868</v>
      </c>
    </row>
    <row r="136" spans="4:11" ht="12.75">
      <c r="D136" s="4" t="s">
        <v>541</v>
      </c>
      <c r="E136" s="4">
        <v>2</v>
      </c>
      <c r="F136" s="4">
        <f>RDG!G18</f>
        <v>135</v>
      </c>
      <c r="G136" s="4">
        <f>IF(RDG!H18=0,"",RDG!H18)</f>
      </c>
      <c r="H136" s="30">
        <f t="shared" si="6"/>
        <v>14286292.650000002</v>
      </c>
      <c r="I136" s="4">
        <f t="shared" si="7"/>
        <v>0</v>
      </c>
      <c r="J136" s="31">
        <f>RDG!I18</f>
        <v>3573451</v>
      </c>
      <c r="K136" s="31">
        <f>RDG!J18</f>
        <v>3504494</v>
      </c>
    </row>
    <row r="137" spans="4:11" ht="12.75">
      <c r="D137" s="4" t="s">
        <v>541</v>
      </c>
      <c r="E137" s="4">
        <v>2</v>
      </c>
      <c r="F137" s="4">
        <f>RDG!G19</f>
        <v>136</v>
      </c>
      <c r="G137" s="4">
        <f>IF(RDG!H19=0,"",RDG!H19)</f>
      </c>
      <c r="H137" s="30">
        <f t="shared" si="6"/>
        <v>2251486.8</v>
      </c>
      <c r="I137" s="4">
        <f t="shared" si="7"/>
        <v>0</v>
      </c>
      <c r="J137" s="31">
        <f>RDG!I19</f>
        <v>594419</v>
      </c>
      <c r="K137" s="31">
        <f>RDG!J19</f>
        <v>530543</v>
      </c>
    </row>
    <row r="138" spans="4:11" ht="12.75">
      <c r="D138" s="4" t="s">
        <v>541</v>
      </c>
      <c r="E138" s="4">
        <v>2</v>
      </c>
      <c r="F138" s="4">
        <f>RDG!G20</f>
        <v>137</v>
      </c>
      <c r="G138" s="4">
        <f>IF(RDG!H20=0,"",RDG!H20)</f>
      </c>
      <c r="H138" s="30">
        <f t="shared" si="6"/>
        <v>4203713.48</v>
      </c>
      <c r="I138" s="4">
        <f t="shared" si="7"/>
        <v>0</v>
      </c>
      <c r="J138" s="31">
        <f>RDG!I20</f>
        <v>1028648</v>
      </c>
      <c r="K138" s="31">
        <f>RDG!J20</f>
        <v>1019878</v>
      </c>
    </row>
    <row r="139" spans="4:11" ht="12.75">
      <c r="D139" s="4" t="s">
        <v>541</v>
      </c>
      <c r="E139" s="4">
        <v>2</v>
      </c>
      <c r="F139" s="4">
        <f>RDG!G21</f>
        <v>138</v>
      </c>
      <c r="G139" s="4">
        <f>IF(RDG!H21=0,"",RDG!H21)</f>
      </c>
      <c r="H139" s="30">
        <f t="shared" si="6"/>
        <v>2694459.66</v>
      </c>
      <c r="I139" s="4">
        <f t="shared" si="7"/>
        <v>0</v>
      </c>
      <c r="J139" s="31">
        <f>RDG!I21</f>
        <v>656955</v>
      </c>
      <c r="K139" s="31">
        <f>RDG!J21</f>
        <v>647776</v>
      </c>
    </row>
    <row r="140" spans="4:11" ht="12.75">
      <c r="D140" s="4" t="s">
        <v>541</v>
      </c>
      <c r="E140" s="4">
        <v>2</v>
      </c>
      <c r="F140" s="4">
        <f>RDG!G22</f>
        <v>139</v>
      </c>
      <c r="G140" s="4">
        <f>IF(RDG!H22=0,"",RDG!H22)</f>
      </c>
      <c r="H140" s="30">
        <f t="shared" si="6"/>
        <v>947226.6199999999</v>
      </c>
      <c r="I140" s="4">
        <f t="shared" si="7"/>
        <v>0</v>
      </c>
      <c r="J140" s="31">
        <f>RDG!I22</f>
        <v>226146</v>
      </c>
      <c r="K140" s="31">
        <f>RDG!J22</f>
        <v>227656</v>
      </c>
    </row>
    <row r="141" spans="4:11" ht="12.75">
      <c r="D141" s="4" t="s">
        <v>541</v>
      </c>
      <c r="E141" s="4">
        <v>2</v>
      </c>
      <c r="F141" s="4">
        <f>RDG!G23</f>
        <v>140</v>
      </c>
      <c r="G141" s="4">
        <f>IF(RDG!H23=0,"",RDG!H23)</f>
      </c>
      <c r="H141" s="30">
        <f t="shared" si="6"/>
        <v>608214.6</v>
      </c>
      <c r="I141" s="4">
        <f t="shared" si="7"/>
        <v>0</v>
      </c>
      <c r="J141" s="31">
        <f>RDG!I23</f>
        <v>145547</v>
      </c>
      <c r="K141" s="31">
        <f>RDG!J23</f>
        <v>144446</v>
      </c>
    </row>
    <row r="142" spans="4:11" ht="12.75">
      <c r="D142" s="4" t="s">
        <v>541</v>
      </c>
      <c r="E142" s="4">
        <v>2</v>
      </c>
      <c r="F142" s="4">
        <f>RDG!G24</f>
        <v>141</v>
      </c>
      <c r="G142" s="4">
        <f>IF(RDG!H24=0,"",RDG!H24)</f>
      </c>
      <c r="H142" s="30">
        <f t="shared" si="6"/>
        <v>661065.81</v>
      </c>
      <c r="I142" s="4">
        <f t="shared" si="7"/>
        <v>0</v>
      </c>
      <c r="J142" s="31">
        <f>RDG!I24</f>
        <v>146685</v>
      </c>
      <c r="K142" s="31">
        <f>RDG!J24</f>
        <v>161078</v>
      </c>
    </row>
    <row r="143" spans="4:11" ht="12.75">
      <c r="D143" s="4" t="s">
        <v>541</v>
      </c>
      <c r="E143" s="4">
        <v>2</v>
      </c>
      <c r="F143" s="4">
        <f>RDG!G25</f>
        <v>142</v>
      </c>
      <c r="G143" s="4">
        <f>IF(RDG!H25=0,"",RDG!H25)</f>
      </c>
      <c r="H143" s="30">
        <f t="shared" si="6"/>
        <v>392469.54000000004</v>
      </c>
      <c r="I143" s="4">
        <f t="shared" si="7"/>
        <v>0</v>
      </c>
      <c r="J143" s="31">
        <f>RDG!I25</f>
        <v>122295</v>
      </c>
      <c r="K143" s="31">
        <f>RDG!J25</f>
        <v>77046</v>
      </c>
    </row>
    <row r="144" spans="4:11" ht="12.75">
      <c r="D144" s="4" t="s">
        <v>541</v>
      </c>
      <c r="E144" s="4">
        <v>2</v>
      </c>
      <c r="F144" s="4">
        <f>RDG!G26</f>
        <v>143</v>
      </c>
      <c r="G144" s="4">
        <f>IF(RDG!H26=0,"",RDG!H26)</f>
      </c>
      <c r="H144" s="30">
        <f t="shared" si="6"/>
        <v>1508189.54</v>
      </c>
      <c r="I144" s="4">
        <f t="shared" si="7"/>
        <v>0</v>
      </c>
      <c r="J144" s="31">
        <f>RDG!I26</f>
        <v>292886</v>
      </c>
      <c r="K144" s="31">
        <f>RDG!J26</f>
        <v>380896</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1529283.0999999999</v>
      </c>
      <c r="I146" s="4">
        <f t="shared" si="7"/>
        <v>0</v>
      </c>
      <c r="J146" s="31">
        <f>RDG!I28</f>
        <v>292886</v>
      </c>
      <c r="K146" s="31">
        <f>RDG!J28</f>
        <v>380896</v>
      </c>
    </row>
    <row r="147" spans="4:11" ht="12.75">
      <c r="D147" s="4" t="s">
        <v>541</v>
      </c>
      <c r="E147" s="4">
        <v>2</v>
      </c>
      <c r="F147" s="4">
        <f>RDG!G29</f>
        <v>146</v>
      </c>
      <c r="G147" s="4">
        <f>IF(RDG!H29=0,"",RDG!H29)</f>
      </c>
      <c r="H147" s="30">
        <f t="shared" si="6"/>
        <v>119414.85999999999</v>
      </c>
      <c r="I147" s="4">
        <f t="shared" si="7"/>
        <v>0</v>
      </c>
      <c r="J147" s="31">
        <f>RDG!I29</f>
        <v>29853</v>
      </c>
      <c r="K147" s="31">
        <f>RDG!J29</f>
        <v>25969</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124322.31999999999</v>
      </c>
      <c r="I153" s="4">
        <f t="shared" si="7"/>
        <v>0</v>
      </c>
      <c r="J153" s="31">
        <f>RDG!I35</f>
        <v>29853</v>
      </c>
      <c r="K153" s="31">
        <f>RDG!J35</f>
        <v>25969</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1556.94</v>
      </c>
      <c r="I155" s="4">
        <f t="shared" si="7"/>
        <v>0</v>
      </c>
      <c r="J155" s="31">
        <f>RDG!I37</f>
        <v>955</v>
      </c>
      <c r="K155" s="31">
        <f>RDG!J37</f>
        <v>28</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96.6</v>
      </c>
      <c r="I162" s="4">
        <f t="shared" si="7"/>
        <v>0</v>
      </c>
      <c r="J162" s="31">
        <f>RDG!I44</f>
        <v>22</v>
      </c>
      <c r="K162" s="31">
        <f>RDG!J44</f>
        <v>19</v>
      </c>
    </row>
    <row r="163" spans="4:11" ht="12.75">
      <c r="D163" s="4" t="s">
        <v>541</v>
      </c>
      <c r="E163" s="4">
        <v>2</v>
      </c>
      <c r="F163" s="4">
        <f>RDG!G45</f>
        <v>162</v>
      </c>
      <c r="G163" s="4">
        <f>IF(RDG!H45=0,"",RDG!H45)</f>
      </c>
      <c r="H163" s="30">
        <f t="shared" si="6"/>
        <v>1540.6200000000001</v>
      </c>
      <c r="I163" s="4">
        <f t="shared" si="7"/>
        <v>0</v>
      </c>
      <c r="J163" s="31">
        <f>RDG!I45</f>
        <v>933</v>
      </c>
      <c r="K163" s="31">
        <f>RDG!J45</f>
        <v>9</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23147.85</v>
      </c>
      <c r="I166" s="4">
        <f t="shared" si="7"/>
        <v>0</v>
      </c>
      <c r="J166" s="31">
        <f>RDG!I48</f>
        <v>2489</v>
      </c>
      <c r="K166" s="31">
        <f>RDG!J48</f>
        <v>5770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18401.04</v>
      </c>
      <c r="I169" s="4">
        <f t="shared" si="7"/>
        <v>0</v>
      </c>
      <c r="J169" s="31">
        <f>RDG!I51</f>
        <v>2489</v>
      </c>
      <c r="K169" s="31">
        <f>RDG!J51</f>
        <v>4232</v>
      </c>
    </row>
    <row r="170" spans="4:11" ht="12.75">
      <c r="D170" s="4" t="s">
        <v>541</v>
      </c>
      <c r="E170" s="4">
        <v>2</v>
      </c>
      <c r="F170" s="4">
        <f>RDG!G52</f>
        <v>169</v>
      </c>
      <c r="G170" s="4">
        <f>IF(RDG!H52=0,"",RDG!H52)</f>
      </c>
      <c r="H170" s="30">
        <f t="shared" si="6"/>
        <v>5198.4400000000005</v>
      </c>
      <c r="I170" s="4">
        <f t="shared" si="7"/>
        <v>0</v>
      </c>
      <c r="J170" s="31">
        <f>RDG!I52</f>
        <v>0</v>
      </c>
      <c r="K170" s="31">
        <f>RDG!J52</f>
        <v>1538</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33904001.31</v>
      </c>
      <c r="I178" s="4">
        <f t="shared" si="7"/>
        <v>0</v>
      </c>
      <c r="J178" s="31">
        <f>RDG!I60</f>
        <v>6179891</v>
      </c>
      <c r="K178" s="31">
        <f>RDG!J60</f>
        <v>6487456</v>
      </c>
    </row>
    <row r="179" spans="4:11" ht="12.75">
      <c r="D179" s="4" t="s">
        <v>541</v>
      </c>
      <c r="E179" s="4">
        <v>2</v>
      </c>
      <c r="F179" s="4">
        <f>RDG!G61</f>
        <v>178</v>
      </c>
      <c r="G179" s="4">
        <f>IF(RDG!H61=0,"",RDG!H61)</f>
      </c>
      <c r="H179" s="30">
        <f t="shared" si="6"/>
        <v>32350935.74</v>
      </c>
      <c r="I179" s="4">
        <f t="shared" si="7"/>
        <v>0</v>
      </c>
      <c r="J179" s="31">
        <f>RDG!I61</f>
        <v>6083599</v>
      </c>
      <c r="K179" s="31">
        <f>RDG!J61</f>
        <v>6045542</v>
      </c>
    </row>
    <row r="180" spans="4:11" ht="12.75">
      <c r="D180" s="4" t="s">
        <v>541</v>
      </c>
      <c r="E180" s="4">
        <v>2</v>
      </c>
      <c r="F180" s="4">
        <f>RDG!G62</f>
        <v>179</v>
      </c>
      <c r="G180" s="4">
        <f>IF(RDG!H62=0,"",RDG!H62)</f>
      </c>
      <c r="H180" s="30">
        <f t="shared" si="6"/>
        <v>1754414.8</v>
      </c>
      <c r="I180" s="4">
        <f t="shared" si="7"/>
        <v>0</v>
      </c>
      <c r="J180" s="31">
        <f>RDG!I62</f>
        <v>96292</v>
      </c>
      <c r="K180" s="31">
        <f>RDG!J62</f>
        <v>441914</v>
      </c>
    </row>
    <row r="181" spans="4:11" ht="12.75">
      <c r="D181" s="4" t="s">
        <v>541</v>
      </c>
      <c r="E181" s="4">
        <v>2</v>
      </c>
      <c r="F181" s="4">
        <f>RDG!G63</f>
        <v>180</v>
      </c>
      <c r="G181" s="4">
        <f>IF(RDG!H63=0,"",RDG!H63)</f>
      </c>
      <c r="H181" s="30">
        <f t="shared" si="6"/>
        <v>1764216.0000000002</v>
      </c>
      <c r="I181" s="4">
        <f t="shared" si="7"/>
        <v>0</v>
      </c>
      <c r="J181" s="31">
        <f>RDG!I63</f>
        <v>96292</v>
      </c>
      <c r="K181" s="31">
        <f>RDG!J63</f>
        <v>441914</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226719.21999999997</v>
      </c>
      <c r="I183" s="4">
        <f t="shared" si="7"/>
        <v>0</v>
      </c>
      <c r="J183" s="31">
        <f>RDG!I65</f>
        <v>17437</v>
      </c>
      <c r="K183" s="31">
        <f>RDG!J65</f>
        <v>53567</v>
      </c>
    </row>
    <row r="184" spans="4:11" ht="12.75">
      <c r="D184" s="4" t="s">
        <v>541</v>
      </c>
      <c r="E184" s="4">
        <v>2</v>
      </c>
      <c r="F184" s="4">
        <f>RDG!G66</f>
        <v>183</v>
      </c>
      <c r="G184" s="4">
        <f>IF(RDG!H66=0,"",RDG!H66)</f>
      </c>
      <c r="H184" s="30">
        <f t="shared" si="6"/>
        <v>1565654.67</v>
      </c>
      <c r="I184" s="4">
        <f t="shared" si="7"/>
        <v>0</v>
      </c>
      <c r="J184" s="31">
        <f>RDG!I66</f>
        <v>78855</v>
      </c>
      <c r="K184" s="31">
        <f>RDG!J66</f>
        <v>388347</v>
      </c>
    </row>
    <row r="185" spans="4:11" ht="12.75">
      <c r="D185" s="4" t="s">
        <v>541</v>
      </c>
      <c r="E185" s="4">
        <v>2</v>
      </c>
      <c r="F185" s="4">
        <f>RDG!G67</f>
        <v>184</v>
      </c>
      <c r="G185" s="4">
        <f>IF(RDG!H67=0,"",RDG!H67)</f>
      </c>
      <c r="H185" s="30">
        <f t="shared" si="6"/>
        <v>1574210.16</v>
      </c>
      <c r="I185" s="4">
        <f t="shared" si="7"/>
        <v>0</v>
      </c>
      <c r="J185" s="31">
        <f>RDG!I67</f>
        <v>78855</v>
      </c>
      <c r="K185" s="31">
        <f>RDG!J67</f>
        <v>388347</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138050.59999999998</v>
      </c>
      <c r="I231" s="4">
        <f t="shared" si="11"/>
        <v>0</v>
      </c>
      <c r="J231" s="31">
        <f>Dodatni!I23</f>
        <v>17914</v>
      </c>
      <c r="K231" s="31">
        <f>Dodatni!J23</f>
        <v>21054</v>
      </c>
    </row>
    <row r="232" spans="4:11" ht="12.75">
      <c r="D232" s="4" t="s">
        <v>1522</v>
      </c>
      <c r="E232" s="4">
        <v>3</v>
      </c>
      <c r="F232" s="4">
        <f>Dodatni!H25</f>
        <v>231</v>
      </c>
      <c r="H232" s="30">
        <f t="shared" si="10"/>
        <v>41363601.510000005</v>
      </c>
      <c r="I232" s="4">
        <f t="shared" si="11"/>
        <v>0</v>
      </c>
      <c r="J232" s="31">
        <f>Dodatni!I25</f>
        <v>5823589</v>
      </c>
      <c r="K232" s="31">
        <f>Dodatni!J25</f>
        <v>6041366</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43333296.82</v>
      </c>
      <c r="I243" s="4">
        <f t="shared" si="11"/>
        <v>0</v>
      </c>
      <c r="J243" s="31">
        <f>Dodatni!I37</f>
        <v>5823589</v>
      </c>
      <c r="K243" s="31">
        <f>Dodatni!J37</f>
        <v>6041366</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228095</v>
      </c>
      <c r="I251" s="4">
        <f t="shared" si="11"/>
        <v>0</v>
      </c>
      <c r="J251" s="31">
        <f>Dodatni!I47</f>
        <v>31532</v>
      </c>
      <c r="K251" s="31">
        <f>Dodatni!J47</f>
        <v>29853</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513084.6</v>
      </c>
      <c r="I253" s="4">
        <f t="shared" si="11"/>
        <v>0</v>
      </c>
      <c r="J253" s="31">
        <f>Dodatni!I50</f>
        <v>77669</v>
      </c>
      <c r="K253" s="31">
        <f>Dodatni!J50</f>
        <v>62968</v>
      </c>
    </row>
    <row r="254" spans="4:11" ht="12.75">
      <c r="D254" s="4" t="s">
        <v>1522</v>
      </c>
      <c r="E254" s="4">
        <v>3</v>
      </c>
      <c r="F254" s="4">
        <f>Dodatni!H51</f>
        <v>253</v>
      </c>
      <c r="H254" s="30">
        <f t="shared" si="10"/>
        <v>15731.54</v>
      </c>
      <c r="I254" s="4">
        <f t="shared" si="11"/>
        <v>0</v>
      </c>
      <c r="J254" s="31">
        <f>Dodatni!I51</f>
        <v>1858</v>
      </c>
      <c r="K254" s="31">
        <f>Dodatni!J51</f>
        <v>2180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136505.55</v>
      </c>
      <c r="I258" s="4">
        <f t="shared" si="11"/>
        <v>0</v>
      </c>
      <c r="J258" s="31">
        <f>Dodatni!I55</f>
        <v>29379</v>
      </c>
      <c r="K258" s="31">
        <f>Dodatni!J55</f>
        <v>11868</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477591.93999999994</v>
      </c>
      <c r="I263" s="4">
        <f t="shared" si="11"/>
        <v>0</v>
      </c>
      <c r="J263" s="31">
        <f>Dodatni!I60</f>
        <v>52575</v>
      </c>
      <c r="K263" s="31">
        <f>Dodatni!J60</f>
        <v>64856</v>
      </c>
    </row>
    <row r="264" spans="4:11" ht="12.75">
      <c r="D264" s="4" t="s">
        <v>1522</v>
      </c>
      <c r="E264" s="4">
        <v>3</v>
      </c>
      <c r="F264" s="4">
        <f>Dodatni!H61</f>
        <v>263</v>
      </c>
      <c r="H264" s="30">
        <f t="shared" si="10"/>
        <v>430183.83999999997</v>
      </c>
      <c r="I264" s="4">
        <f t="shared" si="11"/>
        <v>0</v>
      </c>
      <c r="J264" s="31">
        <f>Dodatni!I61</f>
        <v>45706</v>
      </c>
      <c r="K264" s="31">
        <f>Dodatni!J61</f>
        <v>58931</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400604.13</v>
      </c>
      <c r="I268" s="4">
        <f t="shared" si="11"/>
        <v>0</v>
      </c>
      <c r="J268" s="31">
        <f>Dodatni!I65</f>
        <v>63147</v>
      </c>
      <c r="K268" s="31">
        <f>Dodatni!J65</f>
        <v>43446</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164.4</v>
      </c>
      <c r="I275" s="4">
        <f aca="true" t="shared" si="13" ref="I275:I284">ABS(ROUND(J275,0)-J275)+ABS(ROUND(K275,0)-K275)</f>
        <v>0</v>
      </c>
      <c r="J275" s="31">
        <f>Dodatni!I73</f>
        <v>22</v>
      </c>
      <c r="K275" s="31">
        <f>Dodatni!J73</f>
        <v>19</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30339.809999999998</v>
      </c>
      <c r="I278" s="4">
        <f t="shared" si="13"/>
        <v>0</v>
      </c>
      <c r="J278" s="31">
        <f>Dodatni!I76</f>
        <v>2489</v>
      </c>
      <c r="K278" s="31">
        <f>Dodatni!J76</f>
        <v>4232</v>
      </c>
    </row>
    <row r="279" spans="4:11" ht="12.75">
      <c r="D279" s="4" t="s">
        <v>1522</v>
      </c>
      <c r="E279" s="4">
        <v>3</v>
      </c>
      <c r="F279" s="4">
        <f>Dodatni!H78</f>
        <v>278</v>
      </c>
      <c r="H279" s="30">
        <f t="shared" si="12"/>
        <v>3273905.92</v>
      </c>
      <c r="I279" s="4">
        <f t="shared" si="13"/>
        <v>0</v>
      </c>
      <c r="J279" s="31">
        <f>Dodatni!I78</f>
        <v>412944</v>
      </c>
      <c r="K279" s="31">
        <f>Dodatni!J78</f>
        <v>382360</v>
      </c>
    </row>
    <row r="280" spans="4:11" ht="12.75">
      <c r="D280" s="4" t="s">
        <v>1522</v>
      </c>
      <c r="E280" s="4">
        <v>3</v>
      </c>
      <c r="F280" s="4">
        <f>Dodatni!H79</f>
        <v>279</v>
      </c>
      <c r="H280" s="30">
        <f t="shared" si="12"/>
        <v>2720584.8</v>
      </c>
      <c r="I280" s="4">
        <f t="shared" si="13"/>
        <v>0</v>
      </c>
      <c r="J280" s="31">
        <f>Dodatni!I79</f>
        <v>272242</v>
      </c>
      <c r="K280" s="31">
        <f>Dodatni!J79</f>
        <v>351439</v>
      </c>
    </row>
    <row r="281" spans="4:11" ht="12.75">
      <c r="D281" s="4" t="s">
        <v>1522</v>
      </c>
      <c r="E281" s="4">
        <v>3</v>
      </c>
      <c r="F281" s="4">
        <f>Dodatni!H80</f>
        <v>280</v>
      </c>
      <c r="H281" s="30">
        <f t="shared" si="12"/>
        <v>91840</v>
      </c>
      <c r="I281" s="4">
        <f t="shared" si="13"/>
        <v>0</v>
      </c>
      <c r="J281" s="31">
        <f>Dodatni!I80</f>
        <v>23220</v>
      </c>
      <c r="K281" s="31">
        <f>Dodatni!J80</f>
        <v>4790</v>
      </c>
    </row>
    <row r="282" spans="4:11" ht="12.75">
      <c r="D282" s="4" t="s">
        <v>1522</v>
      </c>
      <c r="E282" s="4">
        <v>3</v>
      </c>
      <c r="F282" s="4">
        <f>Dodatni!H81</f>
        <v>281</v>
      </c>
      <c r="H282" s="30">
        <f t="shared" si="12"/>
        <v>312140.42</v>
      </c>
      <c r="I282" s="4">
        <f t="shared" si="13"/>
        <v>0</v>
      </c>
      <c r="J282" s="31">
        <f>Dodatni!I81</f>
        <v>111082</v>
      </c>
      <c r="K282" s="31">
        <f>Dodatni!J81</f>
        <v>0</v>
      </c>
    </row>
    <row r="283" spans="4:11" ht="12.75">
      <c r="D283" s="4" t="s">
        <v>1522</v>
      </c>
      <c r="E283" s="4">
        <v>3</v>
      </c>
      <c r="F283" s="4">
        <f>Dodatni!H82</f>
        <v>282</v>
      </c>
      <c r="H283" s="30">
        <f t="shared" si="12"/>
        <v>165426.84</v>
      </c>
      <c r="I283" s="4">
        <f t="shared" si="13"/>
        <v>0</v>
      </c>
      <c r="J283" s="31">
        <f>Dodatni!I82</f>
        <v>6400</v>
      </c>
      <c r="K283" s="31">
        <f>Dodatni!J82</f>
        <v>26131</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3344565.76</v>
      </c>
      <c r="I285" s="4">
        <f aca="true" t="shared" si="15" ref="I285:I291">ABS(ROUND(J285,0)-J285)+ABS(ROUND(K285,0)-K285)</f>
        <v>0</v>
      </c>
      <c r="J285" s="31">
        <f>Dodatni!I84</f>
        <v>412944</v>
      </c>
      <c r="K285" s="31">
        <f>Dodatni!J84</f>
        <v>382360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ZELENJAK PLIN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49290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21507021048</v>
      </c>
      <c r="V4" s="211" t="s">
        <v>2356</v>
      </c>
      <c r="W4" s="232" t="str">
        <f>RefStr!F31</f>
        <v>KLANJEC</v>
      </c>
      <c r="X4" s="234" t="s">
        <v>222</v>
      </c>
      <c r="Y4" s="235" t="str">
        <f>RefStr!I68</f>
        <v>NE</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1</v>
      </c>
      <c r="T5" s="211" t="s">
        <v>2352</v>
      </c>
      <c r="U5" s="232" t="str">
        <f>RefStr!H27</f>
        <v>02341603</v>
      </c>
      <c r="V5" s="211" t="s">
        <v>2357</v>
      </c>
      <c r="W5" s="232" t="str">
        <f>RefStr!C33</f>
        <v>TRG ANTUNA MIHANOVIĆA 1</v>
      </c>
      <c r="X5" s="234" t="s">
        <v>2517</v>
      </c>
      <c r="Y5" s="235" t="str">
        <f>RefStr!I62</f>
        <v>NE</v>
      </c>
      <c r="Z5" s="211" t="s">
        <v>691</v>
      </c>
      <c r="AA5" s="232" t="str">
        <f>RefStr!M46</f>
        <v>03392546</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080644917</v>
      </c>
      <c r="V6" s="211" t="s">
        <v>2568</v>
      </c>
      <c r="W6" s="232" t="str">
        <f>RefStr!L35</f>
        <v>049/551-049</v>
      </c>
      <c r="X6" s="211" t="s">
        <v>2514</v>
      </c>
      <c r="Y6" s="232" t="str">
        <f>RefStr!C68</f>
        <v>TIHOMIR KUŠANIĆ</v>
      </c>
      <c r="Z6" s="211" t="s">
        <v>1415</v>
      </c>
      <c r="AA6" s="232">
        <f>RefStr!C46</f>
        <v>0</v>
      </c>
    </row>
    <row r="7" spans="1:27" ht="13.5" customHeight="1">
      <c r="A7" s="499"/>
      <c r="B7" s="500"/>
      <c r="C7" s="500"/>
      <c r="D7" s="500"/>
      <c r="E7" s="500"/>
      <c r="F7" s="500"/>
      <c r="G7" s="500"/>
      <c r="H7" s="500"/>
      <c r="I7" s="222" t="s">
        <v>16</v>
      </c>
      <c r="J7" s="224">
        <f>SUM(M12:M120)</f>
        <v>1</v>
      </c>
      <c r="N7" s="208" t="s">
        <v>542</v>
      </c>
      <c r="O7" s="211">
        <f>PK!AA1</f>
        <v>0</v>
      </c>
      <c r="P7" s="212">
        <f>PK!AA2</f>
        <v>0</v>
      </c>
      <c r="Q7" s="232">
        <f>PK!AA3</f>
        <v>0</v>
      </c>
      <c r="R7" s="211" t="s">
        <v>2569</v>
      </c>
      <c r="S7" s="232">
        <f>IF(RefStr!C44&lt;&gt;"",IF(ISERROR(INT(RefStr!C44)),0,RefStr!C44),0)</f>
        <v>2</v>
      </c>
      <c r="T7" s="211" t="s">
        <v>1862</v>
      </c>
      <c r="U7" s="232">
        <f>RefStr!C7</f>
        <v>5</v>
      </c>
      <c r="V7" s="211" t="s">
        <v>1193</v>
      </c>
      <c r="W7" s="232" t="str">
        <f>TRIM(UPPER(RefStr!C35))</f>
        <v>INFO@ZELENJAK-PLIN.HR</v>
      </c>
      <c r="X7" s="211" t="s">
        <v>2515</v>
      </c>
      <c r="Y7" s="232" t="str">
        <f>RefStr!C70</f>
        <v>049/551-049</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3522</v>
      </c>
      <c r="X8" s="211" t="s">
        <v>2516</v>
      </c>
      <c r="Y8" s="232" t="str">
        <f>TRIM(UPPER(RefStr!C72))</f>
        <v>TIHOMIR.KUSANIC@ZELENJAK-PLIN.HR</v>
      </c>
      <c r="Z8" s="236" t="s">
        <v>218</v>
      </c>
      <c r="AA8" s="237" t="str">
        <f>RefStr!I56</f>
        <v>NE</v>
      </c>
    </row>
    <row r="9" spans="1:27" ht="13.5" customHeight="1">
      <c r="A9" s="509" t="s">
        <v>566</v>
      </c>
      <c r="B9" s="509"/>
      <c r="C9" s="509" t="s">
        <v>727</v>
      </c>
      <c r="D9" s="509"/>
      <c r="E9" s="509"/>
      <c r="F9" s="509"/>
      <c r="G9" s="509"/>
      <c r="H9" s="509"/>
      <c r="I9" s="509"/>
      <c r="J9" s="509"/>
      <c r="L9" s="195"/>
      <c r="M9" s="195"/>
      <c r="O9" s="230" t="s">
        <v>614</v>
      </c>
      <c r="P9" s="209">
        <f>RefStr!C58</f>
        <v>9</v>
      </c>
      <c r="Q9" s="231">
        <f>RefStr!F58</f>
        <v>10</v>
      </c>
      <c r="R9" s="211" t="s">
        <v>1860</v>
      </c>
      <c r="S9" s="232">
        <f>IF(RefStr!F4&lt;&gt;"",RefStr!F4,0)</f>
        <v>44196</v>
      </c>
      <c r="T9" s="211" t="s">
        <v>1821</v>
      </c>
      <c r="U9" s="232">
        <f>RefStr!C39</f>
        <v>187</v>
      </c>
      <c r="V9" s="211" t="s">
        <v>1414</v>
      </c>
      <c r="W9" s="232" t="str">
        <f>RefStr!D42</f>
        <v>Distribucija plinovitih goriva distrib...</v>
      </c>
      <c r="X9" s="238" t="s">
        <v>221</v>
      </c>
      <c r="Y9" s="239" t="str">
        <f>RefStr!I66</f>
        <v>NE</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9</v>
      </c>
      <c r="Q10" s="233">
        <f>RefStr!F56</f>
        <v>10</v>
      </c>
      <c r="R10" s="213" t="s">
        <v>1863</v>
      </c>
      <c r="S10" s="233">
        <f>RefStr!C23</f>
        <v>1</v>
      </c>
      <c r="T10" s="213" t="s">
        <v>2573</v>
      </c>
      <c r="U10" s="233" t="str">
        <f>RefStr!D39</f>
        <v>Klanjec</v>
      </c>
      <c r="V10" s="240"/>
      <c r="W10" s="241"/>
      <c r="X10" s="242" t="s">
        <v>1974</v>
      </c>
      <c r="Y10" s="243">
        <f>RefStr!F12</f>
        <v>2020</v>
      </c>
      <c r="Z10" s="213" t="s">
        <v>209</v>
      </c>
      <c r="AA10" s="233" t="str">
        <f>RefStr!A75</f>
        <v>ILIĆ ŽELJKO</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87" t="s">
        <v>758</v>
      </c>
      <c r="D98" s="487"/>
      <c r="E98" s="487"/>
      <c r="F98" s="487"/>
      <c r="G98" s="487"/>
      <c r="H98" s="487"/>
      <c r="I98" s="487"/>
      <c r="J98" s="487"/>
      <c r="L98" s="195">
        <v>0</v>
      </c>
      <c r="M98" s="195">
        <f t="shared" si="16"/>
        <v>1</v>
      </c>
      <c r="N98" s="195">
        <f>IF(AND($O$8&lt;&gt;"DA",P4&gt;0,Dodatni!I62=0),1,0)</f>
        <v>1</v>
      </c>
      <c r="O98" s="195">
        <f>IF(AND($O$8&lt;&gt;"DA",Q4&gt;0,Dodatni!J62=0),1,0)</f>
        <v>1</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C:\Users\tihomir\Documents\tarifne stavke 2017-2021\[Predlošci_Zahtjev za tarife za DIS plina_2RR_ 2017-2021.xlsm]Plan_2017-2021_IZGR.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11" activePane="bottomLeft" state="frozen"/>
      <selection pane="topLeft" activeCell="A1" sqref="A1"/>
      <selection pane="bottomLeft" activeCell="D46" sqref="D46:I46"/>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365" t="s">
        <v>1057</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2020</v>
      </c>
      <c r="G12" s="349"/>
      <c r="H12" s="341" t="s">
        <v>2105</v>
      </c>
      <c r="I12" s="342"/>
      <c r="J12" s="342"/>
      <c r="K12" s="156"/>
      <c r="L12" s="156"/>
      <c r="M12" s="156"/>
      <c r="N12" s="156"/>
      <c r="P12" s="54" t="s">
        <v>2353</v>
      </c>
      <c r="Q12" s="55">
        <f>INT(VALUE(H27))/10</f>
        <v>234160.3</v>
      </c>
    </row>
    <row r="13" spans="4:17" ht="9.75" customHeight="1">
      <c r="D13" s="156"/>
      <c r="E13" s="162"/>
      <c r="H13" s="27"/>
      <c r="I13" s="163"/>
      <c r="J13" s="163"/>
      <c r="K13" s="156"/>
      <c r="L13" s="156"/>
      <c r="M13" s="156"/>
      <c r="N13" s="156"/>
      <c r="P13" s="54" t="s">
        <v>2353</v>
      </c>
      <c r="Q13" s="55">
        <f>INT(VALUE(M27))/50</f>
        <v>1612898.34</v>
      </c>
    </row>
    <row r="14" spans="1:17" ht="15">
      <c r="A14" s="340" t="s">
        <v>2714</v>
      </c>
      <c r="B14" s="340"/>
      <c r="C14" s="340"/>
      <c r="D14" s="164"/>
      <c r="E14" s="165"/>
      <c r="F14" s="338"/>
      <c r="G14" s="339"/>
      <c r="H14" s="339"/>
      <c r="I14" s="156"/>
      <c r="J14" s="346" t="s">
        <v>2100</v>
      </c>
      <c r="K14" s="347"/>
      <c r="L14" s="347"/>
      <c r="M14" s="347"/>
      <c r="N14" s="347"/>
      <c r="P14" s="54" t="s">
        <v>2718</v>
      </c>
      <c r="Q14" s="55">
        <f>INT(VALUE(C27))/100</f>
        <v>215070210.48</v>
      </c>
    </row>
    <row r="15" spans="1:17" ht="19.5" customHeight="1">
      <c r="A15" s="343">
        <f>Skriveni!B59</f>
        <v>562459936.85</v>
      </c>
      <c r="B15" s="344"/>
      <c r="C15" s="345"/>
      <c r="D15" s="60"/>
      <c r="E15" s="60"/>
      <c r="F15" s="60"/>
      <c r="G15" s="60"/>
      <c r="H15" s="60"/>
      <c r="I15" s="60"/>
      <c r="J15" s="60"/>
      <c r="K15" s="60"/>
      <c r="L15" s="60"/>
      <c r="M15" s="60"/>
      <c r="N15" s="60"/>
      <c r="P15" s="54" t="s">
        <v>1817</v>
      </c>
      <c r="Q15" s="55">
        <f>LEN(Skriveni!B9)</f>
        <v>20</v>
      </c>
    </row>
    <row r="16" spans="4:17" ht="12.75" customHeight="1">
      <c r="D16" s="60"/>
      <c r="E16" s="60"/>
      <c r="F16" s="60"/>
      <c r="G16" s="60"/>
      <c r="H16" s="60"/>
      <c r="I16" s="60"/>
      <c r="P16" s="54" t="s">
        <v>1818</v>
      </c>
      <c r="Q16" s="55">
        <f>INT(VALUE(C31))/100</f>
        <v>492.9</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7</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1</v>
      </c>
      <c r="D19" s="276" t="str">
        <f>IF(C19="","Svrha predaje nije upisana",IF(ISNA(LOOKUP(C19,A118:A120,A118:A120)),"Nepostojeća ili neprepoznatljiva svrha predaje",IF(LOOKUP(C19,A118:A120,A118:A120)&lt;&gt;C19,"Nepostojeća ili neprepoznatljiva svrha predaje",LOOKUP(C19,A118:A120,B118:B120))))</f>
        <v>Predaja samo u statističke svrhe</v>
      </c>
      <c r="E19" s="277"/>
      <c r="F19" s="277"/>
      <c r="G19" s="277"/>
      <c r="H19" s="277"/>
      <c r="I19" s="278" t="s">
        <v>1729</v>
      </c>
      <c r="J19" s="279"/>
      <c r="K19" s="279"/>
      <c r="L19" s="279"/>
      <c r="M19" s="279"/>
      <c r="N19" s="36" t="s">
        <v>2139</v>
      </c>
      <c r="P19" s="54" t="s">
        <v>1820</v>
      </c>
      <c r="Q19" s="55">
        <f>LEN(Skriveni!B12)</f>
        <v>23</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187</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3522</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49290</v>
      </c>
      <c r="D31" s="329" t="s">
        <v>693</v>
      </c>
      <c r="E31" s="330"/>
      <c r="F31" s="323" t="s">
        <v>2957</v>
      </c>
      <c r="G31" s="331"/>
      <c r="H31" s="331"/>
      <c r="I31" s="331"/>
      <c r="J31" s="331"/>
      <c r="K31" s="331"/>
      <c r="L31" s="332"/>
      <c r="N31" s="60"/>
      <c r="P31" s="54" t="s">
        <v>514</v>
      </c>
      <c r="Q31" s="55">
        <f>INT(VALUE(C19))</f>
        <v>1</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187</v>
      </c>
      <c r="D39" s="326" t="str">
        <f>IF(C39="","Šifra grada/općine nije upisana",IF(ISNA(LOOKUP(C39,A177:A732,A177:A732)),"Šifra grada/općine ne postoji",IF(LOOKUP(C39,A177:A732,A177:A732)&lt;&gt;C39,"Šifra grada/općine ne postoji",LOOKUP(C39,A177:A732,B177:B732))))</f>
        <v>Klanjec</v>
      </c>
      <c r="E39" s="327"/>
      <c r="F39" s="327"/>
      <c r="G39" s="327"/>
      <c r="H39" s="314" t="s">
        <v>2222</v>
      </c>
      <c r="I39" s="292"/>
      <c r="J39" s="58">
        <f>IF(C39&gt;0,LOOKUP(C39,A177:A732,C177:C732),"")</f>
        <v>2</v>
      </c>
      <c r="K39" s="315" t="str">
        <f>IF(J39="","Treba prvo upisati šifru grada/općine",LOOKUP(J39,A153:A173,B153:B173))</f>
        <v>KRAPINSKO-ZAGORSKA</v>
      </c>
      <c r="L39" s="315"/>
      <c r="M39" s="315"/>
      <c r="N39" s="315"/>
      <c r="P39" s="54" t="s">
        <v>1826</v>
      </c>
      <c r="Q39" s="55">
        <f>C56+2*F56+3*C58+4*F58</f>
        <v>96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2041</v>
      </c>
      <c r="D42" s="317" t="str">
        <f>IF(C42="","Šifra NKD-a nije upisana",IF(ISNA(LOOKUP(C42,A736:A1351,A736:A1351)),"Šifra NKD-a ne postoji",IF(LOOKUP(C42,A736:A1351,A736:A1351)&lt;&gt;C42,"Šifra NKD-a ne postoji",LOOKUP(C42,A736:A1351,B736:B1351))))</f>
        <v>Distribucija plinovitih goriva distrib...</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2</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Ovisno društvo (nema kontrolu nad drugim društvima), sa maticom u RH </v>
      </c>
      <c r="E44" s="321"/>
      <c r="F44" s="321"/>
      <c r="G44" s="321"/>
      <c r="H44" s="321"/>
      <c r="I44" s="321"/>
      <c r="J44" s="321"/>
      <c r="K44" s="321"/>
      <c r="L44" s="321"/>
      <c r="M44" s="321"/>
      <c r="N44" s="321"/>
      <c r="P44" s="54" t="s">
        <v>530</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t="s">
        <v>2965</v>
      </c>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0.2</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9</v>
      </c>
      <c r="D56" s="272" t="s">
        <v>2898</v>
      </c>
      <c r="E56" s="273"/>
      <c r="F56" s="44">
        <v>10</v>
      </c>
      <c r="G56" s="272" t="s">
        <v>2899</v>
      </c>
      <c r="H56" s="376"/>
      <c r="I56" s="226" t="s">
        <v>2619</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9</v>
      </c>
      <c r="D58" s="309" t="s">
        <v>2898</v>
      </c>
      <c r="E58" s="309"/>
      <c r="F58" s="44">
        <v>10</v>
      </c>
      <c r="G58" s="309" t="s">
        <v>2899</v>
      </c>
      <c r="H58" s="309"/>
      <c r="I58" s="5" t="str">
        <f>IF(OR(NT_I!Q1&lt;&gt;0,NT_D!Q1&lt;&gt;0),"DA","NE")</f>
        <v>NE</v>
      </c>
      <c r="J58" s="280" t="s">
        <v>1453</v>
      </c>
      <c r="K58" s="281"/>
      <c r="L58" s="281"/>
      <c r="M58" s="281"/>
      <c r="N58" s="281"/>
      <c r="O58" s="186"/>
      <c r="P58" s="54" t="s">
        <v>1973</v>
      </c>
      <c r="Q58" s="54">
        <f>IF(ISERROR(INT(M46)),LEN(M46),INT(M46)/100)</f>
        <v>33925.46</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2619</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2619</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2960</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2963</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2964</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07" activePane="bottomLeft" state="frozen"/>
      <selection pane="topLeft" activeCell="A1" sqref="A1"/>
      <selection pane="bottomLeft" activeCell="J117" sqref="J117"/>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21507021048; ZELENJAK PLIN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2307819</v>
      </c>
      <c r="J10" s="70">
        <f>J11+J18+J28+J39+J44</f>
        <v>2529101</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2307819</v>
      </c>
      <c r="J18" s="70">
        <f>SUM(J19:J27)</f>
        <v>2529101</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v>2146392</v>
      </c>
      <c r="J20" s="71">
        <v>2410115</v>
      </c>
    </row>
    <row r="21" spans="1:10" ht="13.5" customHeight="1">
      <c r="A21" s="381" t="s">
        <v>2177</v>
      </c>
      <c r="B21" s="381"/>
      <c r="C21" s="381"/>
      <c r="D21" s="381"/>
      <c r="E21" s="381"/>
      <c r="F21" s="381"/>
      <c r="G21" s="19">
        <v>13</v>
      </c>
      <c r="H21" s="20"/>
      <c r="I21" s="71"/>
      <c r="J21" s="71"/>
    </row>
    <row r="22" spans="1:10" ht="13.5" customHeight="1">
      <c r="A22" s="381" t="s">
        <v>2290</v>
      </c>
      <c r="B22" s="381"/>
      <c r="C22" s="381"/>
      <c r="D22" s="381"/>
      <c r="E22" s="381"/>
      <c r="F22" s="381"/>
      <c r="G22" s="19">
        <v>14</v>
      </c>
      <c r="H22" s="20"/>
      <c r="I22" s="71">
        <v>161427</v>
      </c>
      <c r="J22" s="71">
        <v>118986</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1823909</v>
      </c>
      <c r="J45" s="70">
        <f>J46+J54+J61+J71</f>
        <v>1849453</v>
      </c>
    </row>
    <row r="46" spans="1:10" ht="13.5" customHeight="1">
      <c r="A46" s="382" t="s">
        <v>2647</v>
      </c>
      <c r="B46" s="382"/>
      <c r="C46" s="382"/>
      <c r="D46" s="382"/>
      <c r="E46" s="382"/>
      <c r="F46" s="382"/>
      <c r="G46" s="19">
        <v>38</v>
      </c>
      <c r="H46" s="20"/>
      <c r="I46" s="70">
        <f>SUM(I47:I53)</f>
        <v>89687</v>
      </c>
      <c r="J46" s="70">
        <f>SUM(J47:J53)</f>
        <v>82537</v>
      </c>
    </row>
    <row r="47" spans="1:10" ht="13.5" customHeight="1">
      <c r="A47" s="381" t="s">
        <v>970</v>
      </c>
      <c r="B47" s="381"/>
      <c r="C47" s="381"/>
      <c r="D47" s="381"/>
      <c r="E47" s="381"/>
      <c r="F47" s="381"/>
      <c r="G47" s="19">
        <v>39</v>
      </c>
      <c r="H47" s="20"/>
      <c r="I47" s="71">
        <v>88066</v>
      </c>
      <c r="J47" s="71">
        <v>80916</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v>1621</v>
      </c>
      <c r="J51" s="71">
        <v>1621</v>
      </c>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1507651</v>
      </c>
      <c r="J54" s="70">
        <f>SUM(J55:J60)</f>
        <v>1375310</v>
      </c>
    </row>
    <row r="55" spans="1:10" ht="13.5" customHeight="1">
      <c r="A55" s="381" t="s">
        <v>348</v>
      </c>
      <c r="B55" s="381"/>
      <c r="C55" s="381"/>
      <c r="D55" s="381"/>
      <c r="E55" s="381"/>
      <c r="F55" s="381"/>
      <c r="G55" s="19">
        <v>47</v>
      </c>
      <c r="H55" s="20"/>
      <c r="I55" s="71">
        <v>4083</v>
      </c>
      <c r="J55" s="71">
        <v>3969</v>
      </c>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1491132</v>
      </c>
      <c r="J57" s="71">
        <v>1371341</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12436</v>
      </c>
      <c r="J59" s="71"/>
    </row>
    <row r="60" spans="1:10" ht="13.5" customHeight="1">
      <c r="A60" s="381" t="s">
        <v>2638</v>
      </c>
      <c r="B60" s="381"/>
      <c r="C60" s="381"/>
      <c r="D60" s="381"/>
      <c r="E60" s="381"/>
      <c r="F60" s="381"/>
      <c r="G60" s="19">
        <v>52</v>
      </c>
      <c r="H60" s="20"/>
      <c r="I60" s="71"/>
      <c r="J60" s="71"/>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226571</v>
      </c>
      <c r="J71" s="71">
        <v>391606</v>
      </c>
    </row>
    <row r="72" spans="1:10" ht="24.75" customHeight="1">
      <c r="A72" s="383" t="s">
        <v>1558</v>
      </c>
      <c r="B72" s="383"/>
      <c r="C72" s="383"/>
      <c r="D72" s="383"/>
      <c r="E72" s="383"/>
      <c r="F72" s="383"/>
      <c r="G72" s="19">
        <v>64</v>
      </c>
      <c r="H72" s="20"/>
      <c r="I72" s="71"/>
      <c r="J72" s="71"/>
    </row>
    <row r="73" spans="1:10" ht="13.5" customHeight="1">
      <c r="A73" s="383" t="s">
        <v>2650</v>
      </c>
      <c r="B73" s="383"/>
      <c r="C73" s="383"/>
      <c r="D73" s="383"/>
      <c r="E73" s="383"/>
      <c r="F73" s="383"/>
      <c r="G73" s="19">
        <v>65</v>
      </c>
      <c r="H73" s="20"/>
      <c r="I73" s="70">
        <f>I9+I10+I45+I72</f>
        <v>4131728</v>
      </c>
      <c r="J73" s="70">
        <f>J9+J10+J45+J72</f>
        <v>4378554</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1460796</v>
      </c>
      <c r="J76" s="70">
        <f>J77+J78+J79+J85+J86+J90+J93+J96</f>
        <v>1809716</v>
      </c>
      <c r="L76" s="2" t="s">
        <v>2591</v>
      </c>
    </row>
    <row r="77" spans="1:10" ht="13.5" customHeight="1">
      <c r="A77" s="382" t="s">
        <v>935</v>
      </c>
      <c r="B77" s="382"/>
      <c r="C77" s="382"/>
      <c r="D77" s="382"/>
      <c r="E77" s="382"/>
      <c r="F77" s="382"/>
      <c r="G77" s="19">
        <v>68</v>
      </c>
      <c r="H77" s="20"/>
      <c r="I77" s="71">
        <v>316000</v>
      </c>
      <c r="J77" s="71">
        <v>316000</v>
      </c>
    </row>
    <row r="78" spans="1:12" ht="13.5" customHeight="1">
      <c r="A78" s="382" t="s">
        <v>936</v>
      </c>
      <c r="B78" s="382"/>
      <c r="C78" s="382"/>
      <c r="D78" s="382"/>
      <c r="E78" s="382"/>
      <c r="F78" s="382"/>
      <c r="G78" s="19">
        <v>69</v>
      </c>
      <c r="H78" s="20"/>
      <c r="I78" s="71">
        <v>608473</v>
      </c>
      <c r="J78" s="71">
        <v>608473</v>
      </c>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457468</v>
      </c>
      <c r="J90" s="70">
        <f>J91-J92</f>
        <v>496896</v>
      </c>
      <c r="L90" s="2" t="s">
        <v>2591</v>
      </c>
    </row>
    <row r="91" spans="1:10" ht="13.5" customHeight="1">
      <c r="A91" s="381" t="s">
        <v>1139</v>
      </c>
      <c r="B91" s="381"/>
      <c r="C91" s="381"/>
      <c r="D91" s="381"/>
      <c r="E91" s="381"/>
      <c r="F91" s="381"/>
      <c r="G91" s="19">
        <v>82</v>
      </c>
      <c r="H91" s="20"/>
      <c r="I91" s="71">
        <v>457468</v>
      </c>
      <c r="J91" s="71">
        <v>496896</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78855</v>
      </c>
      <c r="J93" s="70">
        <f>J94-J95</f>
        <v>388347</v>
      </c>
      <c r="L93" s="2" t="s">
        <v>2591</v>
      </c>
    </row>
    <row r="94" spans="1:10" ht="13.5" customHeight="1">
      <c r="A94" s="381" t="s">
        <v>2640</v>
      </c>
      <c r="B94" s="381"/>
      <c r="C94" s="381"/>
      <c r="D94" s="381"/>
      <c r="E94" s="381"/>
      <c r="F94" s="381"/>
      <c r="G94" s="19">
        <v>85</v>
      </c>
      <c r="H94" s="20"/>
      <c r="I94" s="71">
        <v>78855</v>
      </c>
      <c r="J94" s="71">
        <v>388347</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29853</v>
      </c>
      <c r="J97" s="70">
        <f>SUM(J98:J103)</f>
        <v>25969</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v>29853</v>
      </c>
      <c r="J103" s="71">
        <v>25969</v>
      </c>
    </row>
    <row r="104" spans="1:10" ht="13.5" customHeight="1">
      <c r="A104" s="383" t="s">
        <v>2655</v>
      </c>
      <c r="B104" s="383"/>
      <c r="C104" s="383"/>
      <c r="D104" s="383"/>
      <c r="E104" s="383"/>
      <c r="F104" s="383"/>
      <c r="G104" s="19">
        <v>95</v>
      </c>
      <c r="H104" s="20"/>
      <c r="I104" s="70">
        <f>SUM(I105:I115)</f>
        <v>102431</v>
      </c>
      <c r="J104" s="70">
        <f>SUM(J105:J115)</f>
        <v>67894</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v>102431</v>
      </c>
      <c r="J109" s="71">
        <v>67894</v>
      </c>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1284037</v>
      </c>
      <c r="J116" s="70">
        <f>SUM(J117:J130)</f>
        <v>980876</v>
      </c>
    </row>
    <row r="117" spans="1:10" ht="13.5" customHeight="1">
      <c r="A117" s="381" t="s">
        <v>2193</v>
      </c>
      <c r="B117" s="381"/>
      <c r="C117" s="381"/>
      <c r="D117" s="381"/>
      <c r="E117" s="381"/>
      <c r="F117" s="381"/>
      <c r="G117" s="19">
        <v>108</v>
      </c>
      <c r="H117" s="20"/>
      <c r="I117" s="71">
        <v>113567</v>
      </c>
      <c r="J117" s="71">
        <v>54301</v>
      </c>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915422</v>
      </c>
      <c r="J124" s="71">
        <v>695597</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57528</v>
      </c>
      <c r="J126" s="71">
        <v>55634</v>
      </c>
    </row>
    <row r="127" spans="1:10" ht="13.5" customHeight="1">
      <c r="A127" s="381" t="s">
        <v>364</v>
      </c>
      <c r="B127" s="381"/>
      <c r="C127" s="381"/>
      <c r="D127" s="381"/>
      <c r="E127" s="381"/>
      <c r="F127" s="381"/>
      <c r="G127" s="19">
        <v>118</v>
      </c>
      <c r="H127" s="20"/>
      <c r="I127" s="71">
        <v>62522</v>
      </c>
      <c r="J127" s="71">
        <v>135917</v>
      </c>
    </row>
    <row r="128" spans="1:10" ht="13.5" customHeight="1">
      <c r="A128" s="381" t="s">
        <v>365</v>
      </c>
      <c r="B128" s="381"/>
      <c r="C128" s="381"/>
      <c r="D128" s="381"/>
      <c r="E128" s="381"/>
      <c r="F128" s="381"/>
      <c r="G128" s="19">
        <v>119</v>
      </c>
      <c r="H128" s="20"/>
      <c r="I128" s="71">
        <v>134998</v>
      </c>
      <c r="J128" s="71">
        <v>39427</v>
      </c>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c r="J130" s="71"/>
    </row>
    <row r="131" spans="1:10" ht="24.75" customHeight="1">
      <c r="A131" s="383" t="s">
        <v>1560</v>
      </c>
      <c r="B131" s="383"/>
      <c r="C131" s="383"/>
      <c r="D131" s="383"/>
      <c r="E131" s="383"/>
      <c r="F131" s="383"/>
      <c r="G131" s="19">
        <v>122</v>
      </c>
      <c r="H131" s="20"/>
      <c r="I131" s="71">
        <v>1254611</v>
      </c>
      <c r="J131" s="71">
        <v>1494099</v>
      </c>
    </row>
    <row r="132" spans="1:10" ht="13.5" customHeight="1">
      <c r="A132" s="383" t="s">
        <v>2657</v>
      </c>
      <c r="B132" s="383"/>
      <c r="C132" s="383"/>
      <c r="D132" s="383"/>
      <c r="E132" s="383"/>
      <c r="F132" s="383"/>
      <c r="G132" s="19">
        <v>123</v>
      </c>
      <c r="H132" s="20"/>
      <c r="I132" s="70">
        <f>I76+I97+I104+I116+I131</f>
        <v>4131728</v>
      </c>
      <c r="J132" s="70">
        <f>J76+J97+J104+J116+J131</f>
        <v>4378554</v>
      </c>
    </row>
    <row r="133" spans="1:10" ht="13.5" customHeight="1">
      <c r="A133" s="384" t="s">
        <v>662</v>
      </c>
      <c r="B133" s="384"/>
      <c r="C133" s="384"/>
      <c r="D133" s="384"/>
      <c r="E133" s="384"/>
      <c r="F133" s="384"/>
      <c r="G133" s="21">
        <v>124</v>
      </c>
      <c r="H133" s="22"/>
      <c r="I133" s="72"/>
      <c r="J133" s="72"/>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44" activePane="bottomLeft" state="frozen"/>
      <selection pane="topLeft" activeCell="A1" sqref="A1"/>
      <selection pane="bottomLeft" activeCell="J28" sqref="J28"/>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21507021048; ZELENJAK PLIN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6178936</v>
      </c>
      <c r="J8" s="84">
        <f>SUM(J9:J13)</f>
        <v>6487428</v>
      </c>
      <c r="Q8" s="2">
        <f>IF(OR(MIN(I70:J75)&lt;&gt;0,MAX(I70:J75)&lt;&gt;0),1,0)</f>
        <v>0</v>
      </c>
      <c r="R8" s="73" t="s">
        <v>2597</v>
      </c>
    </row>
    <row r="9" spans="1:10" s="2" customFormat="1" ht="13.5" customHeight="1">
      <c r="A9" s="381" t="s">
        <v>1434</v>
      </c>
      <c r="B9" s="381"/>
      <c r="C9" s="381"/>
      <c r="D9" s="381"/>
      <c r="E9" s="381"/>
      <c r="F9" s="381"/>
      <c r="G9" s="19">
        <v>126</v>
      </c>
      <c r="H9" s="20"/>
      <c r="I9" s="71">
        <v>17914</v>
      </c>
      <c r="J9" s="71">
        <v>21054</v>
      </c>
    </row>
    <row r="10" spans="1:10" s="2" customFormat="1" ht="13.5" customHeight="1">
      <c r="A10" s="381" t="s">
        <v>730</v>
      </c>
      <c r="B10" s="381"/>
      <c r="C10" s="381"/>
      <c r="D10" s="381"/>
      <c r="E10" s="381"/>
      <c r="F10" s="381"/>
      <c r="G10" s="19">
        <v>127</v>
      </c>
      <c r="H10" s="20"/>
      <c r="I10" s="71">
        <v>5805675</v>
      </c>
      <c r="J10" s="71">
        <v>6020313</v>
      </c>
    </row>
    <row r="11" spans="1:10" s="2" customFormat="1" ht="13.5" customHeight="1">
      <c r="A11" s="381" t="s">
        <v>1435</v>
      </c>
      <c r="B11" s="381"/>
      <c r="C11" s="381"/>
      <c r="D11" s="381"/>
      <c r="E11" s="381"/>
      <c r="F11" s="381"/>
      <c r="G11" s="19">
        <v>128</v>
      </c>
      <c r="H11" s="20"/>
      <c r="I11" s="71">
        <v>134078</v>
      </c>
      <c r="J11" s="71">
        <v>65039</v>
      </c>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221269</v>
      </c>
      <c r="J13" s="71">
        <v>381022</v>
      </c>
    </row>
    <row r="14" spans="1:10" s="2" customFormat="1" ht="13.5" customHeight="1">
      <c r="A14" s="383" t="s">
        <v>1837</v>
      </c>
      <c r="B14" s="383"/>
      <c r="C14" s="383"/>
      <c r="D14" s="383"/>
      <c r="E14" s="383"/>
      <c r="F14" s="383"/>
      <c r="G14" s="19">
        <v>131</v>
      </c>
      <c r="H14" s="20"/>
      <c r="I14" s="70">
        <f>I15+I16+I20+I24+I25+I26+I29+I36</f>
        <v>6081110</v>
      </c>
      <c r="J14" s="70">
        <f>J15+J16+J20+J24+J25+J26+J29+J36</f>
        <v>6039772</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4460743</v>
      </c>
      <c r="J16" s="70">
        <f>SUM(J17:J19)</f>
        <v>4374905</v>
      </c>
    </row>
    <row r="17" spans="1:10" s="2" customFormat="1" ht="13.5" customHeight="1">
      <c r="A17" s="410" t="s">
        <v>504</v>
      </c>
      <c r="B17" s="410"/>
      <c r="C17" s="410"/>
      <c r="D17" s="410"/>
      <c r="E17" s="410"/>
      <c r="F17" s="410"/>
      <c r="G17" s="19">
        <v>134</v>
      </c>
      <c r="H17" s="20"/>
      <c r="I17" s="71">
        <v>292873</v>
      </c>
      <c r="J17" s="71">
        <v>339868</v>
      </c>
    </row>
    <row r="18" spans="1:10" s="2" customFormat="1" ht="13.5" customHeight="1">
      <c r="A18" s="410" t="s">
        <v>505</v>
      </c>
      <c r="B18" s="410"/>
      <c r="C18" s="410"/>
      <c r="D18" s="410"/>
      <c r="E18" s="410"/>
      <c r="F18" s="410"/>
      <c r="G18" s="19">
        <v>135</v>
      </c>
      <c r="H18" s="20"/>
      <c r="I18" s="71">
        <v>3573451</v>
      </c>
      <c r="J18" s="71">
        <v>3504494</v>
      </c>
    </row>
    <row r="19" spans="1:10" s="2" customFormat="1" ht="13.5" customHeight="1">
      <c r="A19" s="410" t="s">
        <v>1426</v>
      </c>
      <c r="B19" s="410"/>
      <c r="C19" s="410"/>
      <c r="D19" s="410"/>
      <c r="E19" s="410"/>
      <c r="F19" s="410"/>
      <c r="G19" s="19">
        <v>136</v>
      </c>
      <c r="H19" s="20"/>
      <c r="I19" s="71">
        <v>594419</v>
      </c>
      <c r="J19" s="71">
        <v>530543</v>
      </c>
    </row>
    <row r="20" spans="1:10" s="2" customFormat="1" ht="13.5" customHeight="1">
      <c r="A20" s="381" t="s">
        <v>1839</v>
      </c>
      <c r="B20" s="381"/>
      <c r="C20" s="381"/>
      <c r="D20" s="381"/>
      <c r="E20" s="381"/>
      <c r="F20" s="381"/>
      <c r="G20" s="19">
        <v>137</v>
      </c>
      <c r="H20" s="20"/>
      <c r="I20" s="70">
        <f>SUM(I21:I23)</f>
        <v>1028648</v>
      </c>
      <c r="J20" s="70">
        <f>SUM(J21:J23)</f>
        <v>1019878</v>
      </c>
    </row>
    <row r="21" spans="1:10" s="2" customFormat="1" ht="13.5" customHeight="1">
      <c r="A21" s="410" t="s">
        <v>724</v>
      </c>
      <c r="B21" s="410"/>
      <c r="C21" s="410"/>
      <c r="D21" s="410"/>
      <c r="E21" s="410"/>
      <c r="F21" s="410"/>
      <c r="G21" s="19">
        <v>138</v>
      </c>
      <c r="H21" s="20"/>
      <c r="I21" s="71">
        <v>656955</v>
      </c>
      <c r="J21" s="71">
        <v>647776</v>
      </c>
    </row>
    <row r="22" spans="1:10" s="2" customFormat="1" ht="13.5" customHeight="1">
      <c r="A22" s="410" t="s">
        <v>961</v>
      </c>
      <c r="B22" s="410"/>
      <c r="C22" s="410"/>
      <c r="D22" s="410"/>
      <c r="E22" s="410"/>
      <c r="F22" s="410"/>
      <c r="G22" s="19">
        <v>139</v>
      </c>
      <c r="H22" s="20"/>
      <c r="I22" s="71">
        <v>226146</v>
      </c>
      <c r="J22" s="71">
        <v>227656</v>
      </c>
    </row>
    <row r="23" spans="1:10" s="2" customFormat="1" ht="13.5" customHeight="1">
      <c r="A23" s="410" t="s">
        <v>962</v>
      </c>
      <c r="B23" s="410"/>
      <c r="C23" s="410"/>
      <c r="D23" s="410"/>
      <c r="E23" s="410"/>
      <c r="F23" s="410"/>
      <c r="G23" s="19">
        <v>140</v>
      </c>
      <c r="H23" s="20"/>
      <c r="I23" s="71">
        <v>145547</v>
      </c>
      <c r="J23" s="71">
        <v>144446</v>
      </c>
    </row>
    <row r="24" spans="1:10" s="2" customFormat="1" ht="13.5" customHeight="1">
      <c r="A24" s="381" t="s">
        <v>259</v>
      </c>
      <c r="B24" s="381"/>
      <c r="C24" s="381"/>
      <c r="D24" s="381"/>
      <c r="E24" s="381"/>
      <c r="F24" s="381"/>
      <c r="G24" s="19">
        <v>141</v>
      </c>
      <c r="H24" s="20"/>
      <c r="I24" s="71">
        <v>146685</v>
      </c>
      <c r="J24" s="71">
        <v>161078</v>
      </c>
    </row>
    <row r="25" spans="1:10" s="2" customFormat="1" ht="13.5" customHeight="1">
      <c r="A25" s="381" t="s">
        <v>260</v>
      </c>
      <c r="B25" s="381"/>
      <c r="C25" s="381"/>
      <c r="D25" s="381"/>
      <c r="E25" s="381"/>
      <c r="F25" s="381"/>
      <c r="G25" s="19">
        <v>142</v>
      </c>
      <c r="H25" s="20"/>
      <c r="I25" s="71">
        <v>122295</v>
      </c>
      <c r="J25" s="71">
        <v>77046</v>
      </c>
    </row>
    <row r="26" spans="1:12" s="2" customFormat="1" ht="13.5" customHeight="1">
      <c r="A26" s="381" t="s">
        <v>1840</v>
      </c>
      <c r="B26" s="381"/>
      <c r="C26" s="381"/>
      <c r="D26" s="381"/>
      <c r="E26" s="381"/>
      <c r="F26" s="381"/>
      <c r="G26" s="19">
        <v>143</v>
      </c>
      <c r="H26" s="20"/>
      <c r="I26" s="70">
        <f>SUM(I27:I28)</f>
        <v>292886</v>
      </c>
      <c r="J26" s="70">
        <f>SUM(J27:J28)</f>
        <v>380896</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292886</v>
      </c>
      <c r="J28" s="71">
        <v>380896</v>
      </c>
      <c r="L28" s="2" t="s">
        <v>2591</v>
      </c>
    </row>
    <row r="29" spans="1:12" s="2" customFormat="1" ht="13.5" customHeight="1">
      <c r="A29" s="381" t="s">
        <v>1841</v>
      </c>
      <c r="B29" s="381"/>
      <c r="C29" s="381"/>
      <c r="D29" s="381"/>
      <c r="E29" s="381"/>
      <c r="F29" s="381"/>
      <c r="G29" s="19">
        <v>146</v>
      </c>
      <c r="H29" s="20"/>
      <c r="I29" s="70">
        <f>SUM(I30:I35)</f>
        <v>29853</v>
      </c>
      <c r="J29" s="70">
        <f>SUM(J30:J35)</f>
        <v>25969</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v>29853</v>
      </c>
      <c r="J35" s="71">
        <v>25969</v>
      </c>
      <c r="L35" s="2" t="s">
        <v>2591</v>
      </c>
    </row>
    <row r="36" spans="1:10" s="2" customFormat="1" ht="13.5" customHeight="1">
      <c r="A36" s="381" t="s">
        <v>1692</v>
      </c>
      <c r="B36" s="381"/>
      <c r="C36" s="381"/>
      <c r="D36" s="381"/>
      <c r="E36" s="381"/>
      <c r="F36" s="381"/>
      <c r="G36" s="19">
        <v>153</v>
      </c>
      <c r="H36" s="20"/>
      <c r="I36" s="71"/>
      <c r="J36" s="71"/>
    </row>
    <row r="37" spans="1:10" s="2" customFormat="1" ht="13.5" customHeight="1">
      <c r="A37" s="383" t="s">
        <v>1842</v>
      </c>
      <c r="B37" s="383"/>
      <c r="C37" s="383"/>
      <c r="D37" s="383"/>
      <c r="E37" s="383"/>
      <c r="F37" s="383"/>
      <c r="G37" s="19">
        <v>154</v>
      </c>
      <c r="H37" s="20"/>
      <c r="I37" s="70">
        <f>SUM(I38:I47)</f>
        <v>955</v>
      </c>
      <c r="J37" s="70">
        <f>SUM(J38:J47)</f>
        <v>28</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22</v>
      </c>
      <c r="J44" s="71">
        <v>19</v>
      </c>
    </row>
    <row r="45" spans="1:10" s="2" customFormat="1" ht="13.5" customHeight="1">
      <c r="A45" s="381" t="s">
        <v>1428</v>
      </c>
      <c r="B45" s="381"/>
      <c r="C45" s="381"/>
      <c r="D45" s="381"/>
      <c r="E45" s="381"/>
      <c r="F45" s="381"/>
      <c r="G45" s="19">
        <v>162</v>
      </c>
      <c r="H45" s="20"/>
      <c r="I45" s="71">
        <v>933</v>
      </c>
      <c r="J45" s="71">
        <v>9</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2489</v>
      </c>
      <c r="J48" s="70">
        <f>SUM(J49:J55)</f>
        <v>5770</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2489</v>
      </c>
      <c r="J51" s="71">
        <v>4232</v>
      </c>
    </row>
    <row r="52" spans="1:10" s="2" customFormat="1" ht="13.5" customHeight="1">
      <c r="A52" s="404" t="s">
        <v>1439</v>
      </c>
      <c r="B52" s="404"/>
      <c r="C52" s="404"/>
      <c r="D52" s="404"/>
      <c r="E52" s="404"/>
      <c r="F52" s="404"/>
      <c r="G52" s="19">
        <v>169</v>
      </c>
      <c r="H52" s="20"/>
      <c r="I52" s="71"/>
      <c r="J52" s="71">
        <v>1538</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6179891</v>
      </c>
      <c r="J60" s="70">
        <f>J8+J37+J56+J57</f>
        <v>6487456</v>
      </c>
    </row>
    <row r="61" spans="1:10" s="2" customFormat="1" ht="13.5" customHeight="1">
      <c r="A61" s="383" t="s">
        <v>1845</v>
      </c>
      <c r="B61" s="383"/>
      <c r="C61" s="383"/>
      <c r="D61" s="383"/>
      <c r="E61" s="383"/>
      <c r="F61" s="383"/>
      <c r="G61" s="19">
        <v>178</v>
      </c>
      <c r="H61" s="20"/>
      <c r="I61" s="70">
        <f>I14+I48+I58+I59</f>
        <v>6083599</v>
      </c>
      <c r="J61" s="70">
        <f>J14+J48+J58+J59</f>
        <v>6045542</v>
      </c>
    </row>
    <row r="62" spans="1:12" s="2" customFormat="1" ht="13.5" customHeight="1">
      <c r="A62" s="383" t="s">
        <v>2581</v>
      </c>
      <c r="B62" s="383"/>
      <c r="C62" s="383"/>
      <c r="D62" s="383"/>
      <c r="E62" s="383"/>
      <c r="F62" s="383"/>
      <c r="G62" s="19">
        <v>179</v>
      </c>
      <c r="H62" s="20"/>
      <c r="I62" s="70">
        <f>I60-I61</f>
        <v>96292</v>
      </c>
      <c r="J62" s="70">
        <f>J60-J61</f>
        <v>441914</v>
      </c>
      <c r="L62" s="2" t="s">
        <v>2591</v>
      </c>
    </row>
    <row r="63" spans="1:10" s="2" customFormat="1" ht="13.5" customHeight="1">
      <c r="A63" s="404" t="s">
        <v>2658</v>
      </c>
      <c r="B63" s="404"/>
      <c r="C63" s="404"/>
      <c r="D63" s="404"/>
      <c r="E63" s="404"/>
      <c r="F63" s="404"/>
      <c r="G63" s="19">
        <v>180</v>
      </c>
      <c r="H63" s="20"/>
      <c r="I63" s="70">
        <f>IF(I60&gt;I61,I60-I61,0)</f>
        <v>96292</v>
      </c>
      <c r="J63" s="70">
        <f>IF(J60&gt;J61,J60-J61,0)</f>
        <v>441914</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v>17437</v>
      </c>
      <c r="J65" s="71">
        <v>53567</v>
      </c>
      <c r="L65" s="2" t="s">
        <v>2591</v>
      </c>
    </row>
    <row r="66" spans="1:12" s="2" customFormat="1" ht="13.5" customHeight="1">
      <c r="A66" s="383" t="s">
        <v>2582</v>
      </c>
      <c r="B66" s="383"/>
      <c r="C66" s="383"/>
      <c r="D66" s="383"/>
      <c r="E66" s="383"/>
      <c r="F66" s="383"/>
      <c r="G66" s="19">
        <v>183</v>
      </c>
      <c r="H66" s="20"/>
      <c r="I66" s="70">
        <f>I62-I65</f>
        <v>78855</v>
      </c>
      <c r="J66" s="70">
        <f>J62-J65</f>
        <v>388347</v>
      </c>
      <c r="L66" s="2" t="s">
        <v>2591</v>
      </c>
    </row>
    <row r="67" spans="1:10" s="2" customFormat="1" ht="13.5" customHeight="1">
      <c r="A67" s="404" t="s">
        <v>779</v>
      </c>
      <c r="B67" s="404"/>
      <c r="C67" s="404"/>
      <c r="D67" s="404"/>
      <c r="E67" s="404"/>
      <c r="F67" s="404"/>
      <c r="G67" s="19">
        <v>184</v>
      </c>
      <c r="H67" s="20"/>
      <c r="I67" s="70">
        <f>IF(I66&gt;0,I66,0)</f>
        <v>78855</v>
      </c>
      <c r="J67" s="70">
        <f>IF(J66&gt;0,J66,0)</f>
        <v>388347</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 activePane="bottomLeft" state="frozen"/>
      <selection pane="topLeft" activeCell="A1" sqref="A1"/>
      <selection pane="bottomLeft" activeCell="I47" sqref="I47"/>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21507021048; ZELENJAK PLIN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v>17914</v>
      </c>
      <c r="J23" s="96">
        <v>21054</v>
      </c>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v>5823589</v>
      </c>
      <c r="J25" s="94">
        <v>6041366</v>
      </c>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5823589</v>
      </c>
      <c r="J37" s="94">
        <v>6041366</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v>31532</v>
      </c>
      <c r="J47" s="78">
        <v>29853</v>
      </c>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77669</v>
      </c>
      <c r="J50" s="77">
        <v>62968</v>
      </c>
    </row>
    <row r="51" spans="1:10" s="2" customFormat="1" ht="24.75" customHeight="1">
      <c r="A51" s="404" t="s">
        <v>2219</v>
      </c>
      <c r="B51" s="404"/>
      <c r="C51" s="404"/>
      <c r="D51" s="404"/>
      <c r="E51" s="404"/>
      <c r="F51" s="404"/>
      <c r="G51" s="427"/>
      <c r="H51" s="19">
        <v>253</v>
      </c>
      <c r="I51" s="77">
        <v>1858</v>
      </c>
      <c r="J51" s="77">
        <v>2180</v>
      </c>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v>29379</v>
      </c>
      <c r="J55" s="77">
        <v>11868</v>
      </c>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52575</v>
      </c>
      <c r="J60" s="77">
        <v>64856</v>
      </c>
    </row>
    <row r="61" spans="1:10" s="2" customFormat="1" ht="13.5" customHeight="1">
      <c r="A61" s="431" t="s">
        <v>2445</v>
      </c>
      <c r="B61" s="431"/>
      <c r="C61" s="431"/>
      <c r="D61" s="431"/>
      <c r="E61" s="431"/>
      <c r="F61" s="431"/>
      <c r="G61" s="432"/>
      <c r="H61" s="19">
        <v>263</v>
      </c>
      <c r="I61" s="77">
        <v>45706</v>
      </c>
      <c r="J61" s="77">
        <v>58931</v>
      </c>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v>63147</v>
      </c>
      <c r="J65" s="77">
        <v>43446</v>
      </c>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22</v>
      </c>
      <c r="J73" s="94">
        <v>19</v>
      </c>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v>2489</v>
      </c>
      <c r="J76" s="78">
        <v>4232</v>
      </c>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412944</v>
      </c>
      <c r="J78" s="228">
        <f>SUM(J79:J82)</f>
        <v>382360</v>
      </c>
    </row>
    <row r="79" spans="1:10" s="2" customFormat="1" ht="13.5" customHeight="1">
      <c r="A79" s="404" t="s">
        <v>629</v>
      </c>
      <c r="B79" s="404"/>
      <c r="C79" s="404"/>
      <c r="D79" s="404"/>
      <c r="E79" s="404"/>
      <c r="F79" s="404"/>
      <c r="G79" s="427"/>
      <c r="H79" s="19">
        <v>279</v>
      </c>
      <c r="I79" s="77">
        <v>272242</v>
      </c>
      <c r="J79" s="77">
        <v>351439</v>
      </c>
    </row>
    <row r="80" spans="1:10" s="2" customFormat="1" ht="13.5" customHeight="1">
      <c r="A80" s="404" t="s">
        <v>630</v>
      </c>
      <c r="B80" s="404"/>
      <c r="C80" s="404"/>
      <c r="D80" s="404"/>
      <c r="E80" s="404"/>
      <c r="F80" s="404"/>
      <c r="G80" s="427"/>
      <c r="H80" s="19">
        <v>280</v>
      </c>
      <c r="I80" s="77">
        <v>23220</v>
      </c>
      <c r="J80" s="77">
        <v>4790</v>
      </c>
    </row>
    <row r="81" spans="1:10" s="2" customFormat="1" ht="13.5" customHeight="1">
      <c r="A81" s="404" t="s">
        <v>1</v>
      </c>
      <c r="B81" s="404"/>
      <c r="C81" s="404"/>
      <c r="D81" s="404"/>
      <c r="E81" s="404"/>
      <c r="F81" s="404"/>
      <c r="G81" s="427"/>
      <c r="H81" s="19">
        <v>281</v>
      </c>
      <c r="I81" s="77">
        <v>111082</v>
      </c>
      <c r="J81" s="77">
        <v>0</v>
      </c>
    </row>
    <row r="82" spans="1:10" s="2" customFormat="1" ht="36" customHeight="1">
      <c r="A82" s="404" t="s">
        <v>4</v>
      </c>
      <c r="B82" s="404"/>
      <c r="C82" s="404"/>
      <c r="D82" s="404"/>
      <c r="E82" s="404"/>
      <c r="F82" s="404"/>
      <c r="G82" s="427"/>
      <c r="H82" s="19">
        <v>282</v>
      </c>
      <c r="I82" s="77">
        <v>6400</v>
      </c>
      <c r="J82" s="77">
        <v>26131</v>
      </c>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v>412944</v>
      </c>
      <c r="J84" s="77">
        <v>382360</v>
      </c>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21507021048; ZELENJAK PLIN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21507021048; ZELENJAK PLIN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21507021048; ZELENJAK PLIN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Tihomir Kušanić</cp:lastModifiedBy>
  <cp:lastPrinted>2021-05-18T09:02:47Z</cp:lastPrinted>
  <dcterms:created xsi:type="dcterms:W3CDTF">2008-10-17T11:51:54Z</dcterms:created>
  <dcterms:modified xsi:type="dcterms:W3CDTF">2021-05-18T11:15:43Z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