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<sst xmlns="http://schemas.openxmlformats.org/spreadsheetml/2006/main" count="4926" uniqueCount="2987">
  <si>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</si>
  <si>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</si>
  <si>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</si>
  <si>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</si>
  <si>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</si>
  <si>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</si>
  <si>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</si>
  <si>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</si>
  <si>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</si>
  <si>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</si>
  <si>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</si>
  <si>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</si>
  <si>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</si>
  <si>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</si>
  <si>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</si>
  <si>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</si>
  <si>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</si>
  <si>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</si>
  <si>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</si>
  <si>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</si>
  <si>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</si>
  <si>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</si>
  <si>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</si>
  <si>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</si>
  <si>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</si>
  <si>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</si>
  <si>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</si>
  <si>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</si>
  <si>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</si>
  <si>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</si>
  <si>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</si>
  <si>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</si>
  <si>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</si>
  <si>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</si>
  <si>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</si>
  <si>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</si>
  <si>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</si>
  <si>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</si>
  <si>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</si>
  <si>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</si>
  <si>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</si>
  <si>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</si>
  <si>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</si>
  <si>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</si>
  <si>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</si>
  <si>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</si>
  <si>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</si>
  <si>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</si>
  <si>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</si>
  <si>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</si>
  <si>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</si>
  <si>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</si>
  <si>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</si>
  <si>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</si>
  <si>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</si>
  <si>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</si>
  <si>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</si>
  <si>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</si>
  <si>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</si>
  <si>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</si>
  <si>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</si>
  <si>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</si>
  <si>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</si>
  <si>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</si>
  <si>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</si>
  <si>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</si>
  <si>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</si>
  <si>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</si>
  <si>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</si>
  <si>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</si>
  <si>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</si>
  <si>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</si>
  <si>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</si>
  <si>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</si>
  <si>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</si>
  <si>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</si>
  <si>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</si>
  <si>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</si>
  <si>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</si>
  <si>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</si>
  <si>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</si>
  <si>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</si>
  <si>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</si>
  <si>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</si>
  <si>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</si>
  <si>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</si>
  <si>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</si>
  <si>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</si>
  <si>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</si>
  <si>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</si>
  <si>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</si>
  <si>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</si>
  <si>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</si>
  <si>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</si>
  <si>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</si>
  <si>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</si>
  <si>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</si>
  <si>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</si>
  <si>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</si>
  <si>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</si>
  <si>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</si>
  <si>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</si>
  <si>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</si>
  <si>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</si>
  <si>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</si>
  <si>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</si>
  <si>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</si>
  <si>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</si>
  <si>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</si>
  <si>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</si>
  <si>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</si>
  <si>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</si>
  <si>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</si>
  <si>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</si>
  <si>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</si>
  <si>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</si>
  <si>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</si>
  <si>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</si>
  <si>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</si>
  <si>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</si>
  <si>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</si>
  <si>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</si>
  <si>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</si>
  <si>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</si>
  <si>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</si>
  <si>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</si>
  <si>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</si>
  <si>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</si>
  <si>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</si>
  <si>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</si>
  <si>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</si>
  <si>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</si>
  <si>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</si>
  <si>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</si>
  <si>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</si>
  <si>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</si>
  <si>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</si>
  <si>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</si>
  <si>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</si>
  <si>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</si>
  <si>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</si>
  <si>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</si>
  <si>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</si>
  <si>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</si>
  <si>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</si>
  <si>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</si>
  <si>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</si>
  <si>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</si>
  <si>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</si>
  <si>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</si>
  <si>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</si>
  <si>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</si>
  <si>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</si>
  <si>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</si>
  <si>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</si>
  <si>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</si>
  <si>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</si>
  <si>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</si>
  <si>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</si>
  <si>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</si>
  <si>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</si>
  <si>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</si>
  <si>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</si>
  <si>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</si>
  <si>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</si>
  <si>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</si>
  <si>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</si>
  <si>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</si>
  <si>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</si>
  <si>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</si>
  <si>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</si>
  <si>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</si>
  <si>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</si>
  <si>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</si>
  <si>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</si>
  <si>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</si>
  <si>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</si>
  <si>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</si>
  <si>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</si>
  <si>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</si>
  <si>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</si>
  <si>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</si>
  <si>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</si>
  <si>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</si>
  <si>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</si>
  <si>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</si>
  <si>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</si>
  <si>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</si>
  <si>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</si>
  <si>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</si>
  <si>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</si>
  <si>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</si>
  <si>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</si>
  <si>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</si>
  <si>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</si>
  <si>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</si>
  <si>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</si>
  <si>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</si>
  <si>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</si>
  <si>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</si>
  <si>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</si>
  <si>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</si>
  <si>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</si>
  <si>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</si>
  <si>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</si>
  <si>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</si>
  <si>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</si>
  <si>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</si>
  <si>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</si>
  <si>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</si>
  <si>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</si>
  <si>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</si>
  <si>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</si>
  <si>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</si>
  <si>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</si>
  <si>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</si>
  <si>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</si>
  <si>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</si>
  <si>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</si>
  <si>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</si>
  <si>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</si>
  <si>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</si>
  <si>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</si>
  <si>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</si>
  <si>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</si>
  <si>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</si>
  <si>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</si>
  <si>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</si>
  <si>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</si>
  <si>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</si>
  <si>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</si>
  <si>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</si>
  <si>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</si>
  <si>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</si>
  <si>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</si>
  <si>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</si>
  <si>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</si>
  <si>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</si>
  <si>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</si>
  <si>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</si>
  <si>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</si>
  <si>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</si>
  <si>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</si>
  <si>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</si>
  <si>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</si>
  <si>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</si>
  <si>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</si>
  <si>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</si>
  <si>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</si>
  <si>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</si>
  <si>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</si>
  <si>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</si>
  <si>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</si>
  <si>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</si>
  <si>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</si>
  <si>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</si>
  <si>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</si>
  <si>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</si>
  <si>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</si>
  <si>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</si>
  <si>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</si>
  <si>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</si>
  <si>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</si>
  <si>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</si>
  <si>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</si>
  <si>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</si>
  <si>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</si>
  <si>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</si>
  <si>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</si>
  <si>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</si>
  <si>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</si>
  <si>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</si>
  <si>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</si>
  <si>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</si>
  <si>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</si>
  <si>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</si>
  <si>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</si>
  <si>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</si>
  <si>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</si>
  <si>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</si>
  <si>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</si>
  <si>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</si>
  <si>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</si>
  <si>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</si>
  <si>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</si>
  <si>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</si>
  <si>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</si>
  <si>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</si>
  <si>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</si>
  <si>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</si>
  <si>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</si>
  <si>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</si>
  <si>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</si>
  <si>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</si>
  <si>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</si>
  <si>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</si>
  <si>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</si>
  <si>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</si>
  <si>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</si>
  <si>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</si>
  <si>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</si>
  <si>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</si>
  <si>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</si>
  <si>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</si>
  <si>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</si>
  <si>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</si>
  <si>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</si>
  <si>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</si>
  <si>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</si>
  <si>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</si>
  <si>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</si>
  <si>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</si>
  <si>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</si>
  <si>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</si>
  <si>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</si>
  <si>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</si>
  <si>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</si>
  <si>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</si>
  <si>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</si>
  <si>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</si>
  <si>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</si>
  <si>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</si>
  <si>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</si>
  <si>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</si>
  <si>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</si>
  <si>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</si>
  <si>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</si>
  <si>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</si>
  <si>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</si>
  <si>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</si>
  <si>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</si>
  <si>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</si>
  <si>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</si>
  <si>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</si>
  <si>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</si>
  <si>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</si>
  <si>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</si>
  <si>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</si>
  <si>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</si>
  <si>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</si>
  <si>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</si>
  <si>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</si>
  <si>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</si>
  <si>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</si>
  <si>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</si>
  <si>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</si>
  <si>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</si>
  <si>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</si>
  <si>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</si>
  <si>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</si>
  <si>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</si>
  <si>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</si>
  <si>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</si>
  <si>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</si>
  <si>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</si>
  <si>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</si>
  <si>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</si>
  <si>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</si>
  <si>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</si>
  <si>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</si>
  <si>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</si>
  <si>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</si>
  <si>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</si>
  <si>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</si>
  <si>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</si>
  <si>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</si>
  <si>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</si>
  <si>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</si>
  <si>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</si>
  <si>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</si>
  <si>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</si>
  <si>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</si>
  <si>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</si>
  <si>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</si>
  <si>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</si>
  <si>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</si>
  <si>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</si>
  <si>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</si>
  <si>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</si>
  <si>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</si>
  <si>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</si>
  <si>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</si>
  <si>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</si>
  <si>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</si>
  <si>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</si>
  <si>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</si>
  <si>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</si>
  <si>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</si>
  <si>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</si>
  <si>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</si>
  <si>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</si>
  <si>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</si>
  <si>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</si>
  <si>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</si>
  <si>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</si>
  <si>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</si>
  <si>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</si>
  <si>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</si>
  <si>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</si>
  <si>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</si>
  <si>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</si>
  <si>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</si>
  <si>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</si>
  <si>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</si>
  <si>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</si>
  <si>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</si>
  <si>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</si>
  <si>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</si>
  <si>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</si>
  <si>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</si>
  <si>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</si>
  <si>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</si>
  <si>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</si>
  <si>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</si>
  <si>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</si>
  <si>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</si>
  <si>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</si>
  <si>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</si>
  <si>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</si>
  <si>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</si>
  <si>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</si>
  <si>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</si>
  <si>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</si>
  <si>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</si>
  <si>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</si>
  <si>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</si>
  <si>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</si>
  <si>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</si>
  <si>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</si>
  <si>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</si>
  <si>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</si>
  <si>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</si>
  <si>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</si>
  <si>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</si>
  <si>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</si>
  <si>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</si>
  <si>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</si>
  <si>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</si>
  <si>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</si>
  <si>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</si>
  <si>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</si>
  <si>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</si>
  <si>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</si>
  <si>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</si>
  <si>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</si>
  <si>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</si>
  <si>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</si>
  <si>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</si>
  <si>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</si>
  <si>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</si>
  <si>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</si>
  <si>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</si>
  <si>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</si>
  <si>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</si>
  <si>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</si>
  <si>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</si>
  <si>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</si>
  <si>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</si>
  <si>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</si>
  <si>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</si>
  <si>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</si>
  <si>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</si>
  <si>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</si>
  <si>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</si>
  <si>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</si>
  <si>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</si>
  <si>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</si>
  <si>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</si>
  <si>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</si>
  <si>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</si>
  <si>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</si>
  <si>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</si>
  <si>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</si>
  <si>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</si>
  <si>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</si>
  <si>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</si>
  <si>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</si>
  <si>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</si>
  <si>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</si>
  <si>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</si>
  <si>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</si>
  <si>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</si>
  <si>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</si>
  <si>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</si>
  <si>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</si>
  <si>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</si>
  <si>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</si>
  <si>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</si>
  <si>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</si>
  <si>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</si>
  <si>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</si>
  <si>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</si>
  <si>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</si>
  <si>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</si>
  <si>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</si>
  <si>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</si>
  <si>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</si>
  <si>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</si>
  <si>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</si>
  <si>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</si>
  <si>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</si>
  <si>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</si>
  <si>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</si>
  <si>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</si>
  <si>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</si>
  <si>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</si>
  <si>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</si>
  <si>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</si>
  <si>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</si>
  <si>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</si>
  <si>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</si>
  <si>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</si>
  <si>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</si>
  <si>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</si>
  <si>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</si>
  <si>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</si>
  <si>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</si>
  <si>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</si>
  <si>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</si>
  <si>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</si>
  <si>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</si>
  <si>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</si>
  <si>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</si>
  <si>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</si>
  <si>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</si>
  <si>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</si>
  <si>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</si>
  <si>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</si>
  <si>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</si>
  <si>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</si>
  <si>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</si>
  <si>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</si>
  <si>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</si>
  <si>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</si>
  <si>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</si>
  <si>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</si>
  <si>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</si>
  <si>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</si>
  <si>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</si>
  <si>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</si>
  <si>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</si>
  <si>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</si>
  <si>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</si>
  <si>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</si>
  <si>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</si>
  <si>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</si>
  <si>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</si>
  <si>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</si>
  <si>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</si>
  <si>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</si>
  <si>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</si>
  <si>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</si>
  <si>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</si>
  <si>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</si>
  <si>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</si>
  <si>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</si>
  <si>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</si>
  <si>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</si>
  <si>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</si>
  <si>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</si>
  <si>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</si>
  <si>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</si>
  <si>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</si>
  <si>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</si>
  <si>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</si>
  <si>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</si>
  <si>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</si>
  <si>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</si>
  <si>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</si>
  <si>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</si>
  <si>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</si>
  <si>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</si>
  <si>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</si>
  <si>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</si>
  <si>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</si>
  <si>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</si>
  <si>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</si>
  <si>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</si>
  <si>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</si>
  <si>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</si>
  <si>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</si>
  <si>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</si>
  <si>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</si>
  <si>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</si>
  <si>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</si>
  <si>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</si>
  <si>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</si>
  <si>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</si>
  <si>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</si>
  <si>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</si>
  <si>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</si>
  <si>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</si>
  <si>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</si>
  <si>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</si>
  <si>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</si>
  <si>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</si>
  <si>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</si>
  <si>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</si>
  <si>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</si>
  <si>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</si>
  <si>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</si>
  <si>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</si>
  <si>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</si>
  <si>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</si>
  <si>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</si>
  <si>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</si>
  <si>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</si>
  <si>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</si>
  <si>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</si>
  <si>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</si>
  <si>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</si>
  <si>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</si>
  <si>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</si>
  <si>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</si>
  <si>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</si>
  <si>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</si>
  <si>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</si>
  <si>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</si>
  <si>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</si>
  <si>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</si>
  <si>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</si>
  <si>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</si>
  <si>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</si>
  <si>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</si>
  <si>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</si>
  <si>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</si>
  <si>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</si>
  <si>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</si>
  <si>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</si>
  <si>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</si>
  <si>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</si>
  <si>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</si>
  <si>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</si>
  <si>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</si>
  <si>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</si>
  <si>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</si>
  <si>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</si>
  <si>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</si>
  <si>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</si>
  <si>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</si>
  <si>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</si>
  <si>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</si>
  <si>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</si>
  <si>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</si>
  <si>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</si>
  <si>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</si>
  <si>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</si>
  <si>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</si>
  <si>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</si>
  <si>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</si>
  <si>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</si>
  <si>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</si>
  <si>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</si>
  <si>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</si>
  <si>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</si>
  <si>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</si>
  <si>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</si>
  <si>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</si>
  <si>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</si>
  <si>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</si>
  <si>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</si>
  <si>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</si>
  <si>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</si>
  <si>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</si>
  <si>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</si>
  <si>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</si>
  <si>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</si>
  <si>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</si>
  <si>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</si>
  <si>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</si>
  <si>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</si>
  <si>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</si>
  <si>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</si>
  <si>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</si>
  <si>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</si>
  <si>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</si>
  <si>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</si>
  <si>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</si>
  <si>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</si>
  <si>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</si>
  <si>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</si>
  <si>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</si>
  <si>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</si>
  <si>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</si>
  <si>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</si>
  <si>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</si>
  <si>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</si>
  <si>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</si>
  <si>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</si>
  <si>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</si>
  <si>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</si>
  <si>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</si>
  <si>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</si>
  <si>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</si>
  <si>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</si>
  <si>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</si>
  <si>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</si>
  <si>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</si>
  <si>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</si>
  <si>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</si>
  <si>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</si>
  <si>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</si>
  <si>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</si>
  <si>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</si>
  <si>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</si>
  <si>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</si>
  <si>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</si>
  <si>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</si>
  <si>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</si>
  <si>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</si>
  <si>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</si>
  <si>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</si>
  <si>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</si>
  <si>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</si>
  <si>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</si>
  <si>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</si>
  <si>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</si>
  <si>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</si>
  <si>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</si>
  <si>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</si>
  <si>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</si>
  <si>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</si>
  <si>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</si>
  <si>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</si>
  <si>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</si>
  <si>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</si>
  <si>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</si>
  <si>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</si>
  <si>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</si>
  <si>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</si>
  <si>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</si>
  <si>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</si>
  <si>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</si>
  <si>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</si>
  <si>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</si>
  <si>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</si>
  <si>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</si>
  <si>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</si>
  <si>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</si>
  <si>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</si>
  <si>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</si>
  <si>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</si>
  <si>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</si>
  <si>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</si>
  <si>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</si>
  <si>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</si>
  <si>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</si>
  <si>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</si>
  <si>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</si>
  <si>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</si>
  <si>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</si>
  <si>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</si>
  <si>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</si>
  <si>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</si>
  <si>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</si>
  <si>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</si>
  <si>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</si>
  <si>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</si>
  <si>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</si>
  <si>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</si>
  <si>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</si>
  <si>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</si>
  <si>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</si>
  <si>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</si>
  <si>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</si>
  <si>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</si>
  <si>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</si>
  <si>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</si>
  <si>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</si>
  <si>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</si>
  <si>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</si>
  <si>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</si>
  <si>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</si>
  <si>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</si>
  <si>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</si>
  <si>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</si>
  <si>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</si>
  <si>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</si>
  <si>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</si>
  <si>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</si>
  <si>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</si>
  <si>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</si>
  <si>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</si>
  <si>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</si>
  <si>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</si>
  <si>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</si>
  <si>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</si>
  <si>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</si>
  <si>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</si>
  <si>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</si>
  <si>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</si>
  <si>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</si>
  <si>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</si>
  <si>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</si>
  <si>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</si>
  <si>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</si>
  <si>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</si>
  <si>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</si>
  <si>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</si>
  <si>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</si>
  <si>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</si>
  <si>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</si>
  <si>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</si>
  <si>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</si>
  <si>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</si>
  <si>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</si>
  <si>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</si>
  <si>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</si>
  <si>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</si>
  <si>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</si>
  <si>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</si>
  <si>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</si>
  <si>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</si>
  <si>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</si>
  <si>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</si>
  <si>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</si>
  <si>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</si>
  <si>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</si>
  <si>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</si>
  <si>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</si>
  <si>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</si>
  <si>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</si>
  <si>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</si>
  <si>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</si>
  <si>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</si>
  <si>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</si>
  <si>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</si>
  <si>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</si>
  <si>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</si>
  <si>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</si>
  <si>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</si>
  <si>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</si>
  <si>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</si>
  <si>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</si>
  <si>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</si>
  <si>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</si>
  <si>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</si>
  <si>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</si>
  <si>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</si>
  <si>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</si>
  <si>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</si>
  <si>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</si>
  <si>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</si>
  <si>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</si>
  <si>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</si>
  <si>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</si>
  <si>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</si>
  <si>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</si>
  <si>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</si>
  <si>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</si>
  <si>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</si>
  <si>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</si>
  <si>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</si>
  <si>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</si>
  <si>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</si>
  <si>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</si>
  <si>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</si>
  <si>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</si>
  <si>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</si>
  <si>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</si>
  <si>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</si>
  <si>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</si>
  <si>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</si>
  <si>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</si>
  <si>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</si>
  <si>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</si>
  <si>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</si>
  <si>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</si>
  <si>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</si>
  <si>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</si>
  <si>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</si>
  <si>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</si>
  <si>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</si>
  <si>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</si>
  <si>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</si>
  <si>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</si>
  <si>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</si>
  <si>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</si>
  <si>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</si>
  <si>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</si>
  <si>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</si>
  <si>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</si>
  <si>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</si>
  <si>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</si>
  <si>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</si>
  <si>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</si>
  <si>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</si>
  <si>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</si>
  <si>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</si>
  <si>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</si>
  <si>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</si>
  <si>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</si>
  <si>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</si>
  <si>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</si>
  <si>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</si>
  <si>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</si>
  <si>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</si>
  <si>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</si>
  <si>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</si>
  <si>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</si>
  <si>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</si>
  <si>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</si>
  <si>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</si>
  <si>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</si>
  <si>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</si>
  <si>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</si>
  <si>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</si>
  <si>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</si>
  <si>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</si>
  <si>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</si>
  <si>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</si>
  <si>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</si>
  <si>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</si>
  <si>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</si>
  <si>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</si>
  <si>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</si>
  <si>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</si>
  <si>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</si>
  <si>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</si>
  <si>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</si>
  <si>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</si>
  <si>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</si>
  <si>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</si>
  <si>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</si>
  <si>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</si>
  <si>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</si>
  <si>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</si>
  <si>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</si>
  <si>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</si>
  <si>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</si>
  <si>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</si>
  <si>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</si>
  <si>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</si>
  <si>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</si>
  <si>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</si>
  <si>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</si>
  <si>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</si>
  <si>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</si>
  <si>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</si>
  <si>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</si>
  <si>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</si>
  <si>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</si>
  <si>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</si>
  <si>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</si>
  <si>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</si>
  <si>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</si>
  <si>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</si>
  <si>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</si>
  <si>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</si>
  <si>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</si>
  <si>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</si>
  <si>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</si>
  <si>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</si>
  <si>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</si>
  <si>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</si>
  <si>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</si>
  <si>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</si>
  <si>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</si>
  <si>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</si>
  <si>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</si>
  <si>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</si>
  <si>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</si>
  <si>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</si>
  <si>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</si>
  <si>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</si>
  <si>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</si>
  <si>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</si>
  <si>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</si>
  <si>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</si>
  <si>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</si>
  <si>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</si>
  <si>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</si>
  <si>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</si>
  <si>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</si>
  <si>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</si>
  <si>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</si>
  <si>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</si>
  <si>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</si>
  <si>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</si>
  <si>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</si>
  <si>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</si>
  <si>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</si>
  <si>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</si>
  <si>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</si>
  <si>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</si>
  <si>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</si>
  <si>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</si>
  <si>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</si>
  <si>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</si>
  <si>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</si>
  <si>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</si>
  <si>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</si>
  <si>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</si>
  <si>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</si>
  <si>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</si>
  <si>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</si>
  <si>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</si>
  <si>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</si>
  <si>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</si>
  <si>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</si>
  <si>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</si>
  <si>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</si>
  <si>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</si>
  <si>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</si>
  <si>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</si>
  <si>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</si>
  <si>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</si>
  <si>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</si>
  <si>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</si>
  <si>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</si>
  <si>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</si>
  <si>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</si>
  <si>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</si>
  <si>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</si>
  <si>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</si>
  <si>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</si>
  <si>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</si>
  <si>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</si>
  <si>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</si>
  <si>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</si>
  <si>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</si>
  <si>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</si>
  <si>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</si>
  <si>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</si>
  <si>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</si>
  <si>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</si>
  <si>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</si>
  <si>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</si>
  <si>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</si>
  <si>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</si>
  <si>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</si>
  <si>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</si>
  <si>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</si>
  <si>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</si>
  <si>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</si>
  <si>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</si>
  <si>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</si>
  <si>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</si>
  <si>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</si>
  <si>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</si>
  <si>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</si>
  <si>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</si>
  <si>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</si>
  <si>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</si>
  <si>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</si>
  <si>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</si>
  <si>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</si>
  <si>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</si>
  <si>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</si>
  <si>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</si>
  <si>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</si>
  <si>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</si>
  <si>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</si>
  <si>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</si>
  <si>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</si>
  <si>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</si>
  <si>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</si>
  <si>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</si>
  <si>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</si>
  <si>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</si>
  <si>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</si>
  <si>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</si>
  <si>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</si>
  <si>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</si>
  <si>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</si>
  <si>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</si>
  <si>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</si>
  <si>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</si>
  <si>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</si>
  <si>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</si>
  <si>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</si>
  <si>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</si>
  <si>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</si>
  <si>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</si>
  <si>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</si>
  <si>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</si>
  <si>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</si>
  <si>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</si>
  <si>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</si>
  <si>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</si>
  <si>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</si>
  <si>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</si>
  <si>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</si>
  <si>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</si>
  <si>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</si>
  <si>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</si>
  <si>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</si>
  <si>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</si>
  <si>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</si>
  <si>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</si>
  <si>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</si>
  <si>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</si>
  <si>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</si>
  <si>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</si>
  <si>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</si>
  <si>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</si>
  <si>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</si>
  <si>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</si>
  <si>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</si>
  <si>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</si>
  <si>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</si>
  <si>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</si>
  <si>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</si>
  <si>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</si>
  <si>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</si>
  <si>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</si>
  <si>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</si>
  <si>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</si>
  <si>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</si>
  <si>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</si>
  <si>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</si>
  <si>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</si>
  <si>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</si>
  <si>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</si>
  <si>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</si>
  <si>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</si>
  <si>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</si>
  <si>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</si>
  <si>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</si>
  <si>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</si>
  <si>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</si>
  <si>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</si>
  <si>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</si>
  <si>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</si>
  <si>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</si>
  <si>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</si>
  <si>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</si>
  <si>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</si>
  <si>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</si>
  <si>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</si>
  <si>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</si>
  <si>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</si>
  <si>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</si>
  <si>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</si>
  <si>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</si>
  <si>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</si>
  <si>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</si>
  <si>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</si>
  <si>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</si>
  <si>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</si>
  <si>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</si>
  <si>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</si>
  <si>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</si>
  <si>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</si>
  <si>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</si>
  <si>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</si>
  <si>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</si>
  <si>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</si>
  <si>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</si>
  <si>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</si>
  <si>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</si>
  <si>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</si>
  <si>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</si>
  <si>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</si>
  <si>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</si>
  <si>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</si>
  <si>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</si>
  <si>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</si>
  <si>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</si>
  <si>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</si>
  <si>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</si>
  <si>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</si>
  <si>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</si>
  <si>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</si>
  <si>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</si>
  <si>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</si>
  <si>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</si>
  <si>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</si>
  <si>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</si>
  <si>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</si>
  <si>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</si>
  <si>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</si>
  <si>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</si>
  <si>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</si>
  <si>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</si>
  <si>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</si>
  <si>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</si>
  <si>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</si>
  <si>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</si>
  <si>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</si>
  <si>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</si>
  <si>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</si>
  <si>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</si>
  <si>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</si>
  <si>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</si>
  <si>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</si>
  <si>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</si>
  <si>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</si>
  <si>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</si>
  <si>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</si>
  <si>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</si>
  <si>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</si>
  <si>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</si>
  <si>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</si>
  <si>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</si>
  <si>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</si>
  <si>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</si>
  <si>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</si>
  <si>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</si>
  <si>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</si>
  <si>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</si>
  <si>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</si>
  <si>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</si>
  <si>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</si>
  <si>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</si>
  <si>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</si>
  <si>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</si>
  <si>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</si>
  <si>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</si>
  <si>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</si>
  <si>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</si>
  <si>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</si>
  <si>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</si>
  <si>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</si>
  <si>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</si>
  <si>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</si>
  <si>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</si>
  <si>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</si>
  <si>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</si>
  <si>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</si>
  <si>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</si>
  <si>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</si>
  <si>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</si>
  <si>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</si>
  <si>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</si>
  <si>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</si>
  <si>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</si>
  <si>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</si>
  <si>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</si>
  <si>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</si>
  <si>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</si>
  <si>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</si>
  <si>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</si>
  <si>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</si>
  <si>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</si>
  <si>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</si>
  <si>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</si>
  <si>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</si>
  <si>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</si>
  <si>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</si>
  <si>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</si>
  <si>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</si>
  <si>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</si>
  <si>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</si>
  <si>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</si>
  <si>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</si>
  <si>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</si>
  <si>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</si>
  <si>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</si>
  <si>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</si>
  <si>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</si>
  <si>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</si>
  <si>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</si>
  <si>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</si>
  <si>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</si>
  <si>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</si>
  <si>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</si>
  <si>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</si>
  <si>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</si>
  <si>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</si>
  <si>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</si>
  <si>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</si>
  <si>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</si>
  <si>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</si>
  <si>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</si>
  <si>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</si>
  <si>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</si>
  <si>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</si>
  <si>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</si>
  <si>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</si>
  <si>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</si>
  <si>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</si>
  <si>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</si>
  <si>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</si>
  <si>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</si>
  <si>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</si>
  <si>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</si>
  <si>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</si>
  <si>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</si>
  <si>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</si>
  <si>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</si>
  <si>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</si>
  <si>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</si>
  <si>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</si>
  <si>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</si>
  <si>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</si>
  <si>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</si>
  <si>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</si>
  <si>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</si>
  <si>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</si>
  <si>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</si>
  <si>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</si>
  <si>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</si>
  <si>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</si>
  <si>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</si>
  <si>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</si>
  <si>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</si>
  <si>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</si>
  <si>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</si>
  <si>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</si>
  <si>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</si>
  <si>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</si>
  <si>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</si>
  <si>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</si>
  <si>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</si>
  <si>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</si>
  <si>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</si>
  <si>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</si>
  <si>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</si>
  <si>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</si>
  <si>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</si>
  <si>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</si>
  <si>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</si>
  <si>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</si>
  <si>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</si>
  <si>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</si>
  <si>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</si>
  <si>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</si>
  <si>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</si>
  <si>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</si>
  <si>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</si>
  <si>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</si>
  <si>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</si>
  <si>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</si>
  <si>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</si>
  <si>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</si>
  <si>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</si>
  <si>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</si>
  <si>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</si>
  <si>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</si>
  <si>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</si>
  <si>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</si>
  <si>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</si>
  <si>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</si>
  <si>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</si>
  <si>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</si>
  <si>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</si>
  <si>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</si>
  <si>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</si>
  <si>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</si>
  <si>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</si>
  <si>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</si>
  <si>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</si>
  <si>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</si>
  <si>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</si>
  <si>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</si>
  <si>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</si>
  <si>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</si>
  <si>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</si>
  <si>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</si>
  <si>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</si>
  <si>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</si>
  <si>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</si>
  <si>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</si>
  <si>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</si>
  <si>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</si>
  <si>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</si>
  <si>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</si>
  <si>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</si>
  <si>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</si>
  <si>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</si>
  <si>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</si>
  <si>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</si>
  <si>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</si>
  <si>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</si>
  <si>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</si>
  <si>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</si>
  <si>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</si>
  <si>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</si>
  <si>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</si>
  <si>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</si>
  <si>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</si>
  <si>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</si>
  <si>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</si>
  <si>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</si>
  <si>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</si>
  <si>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</si>
  <si>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</si>
  <si>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</si>
  <si>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</si>
  <si>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</si>
  <si>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</si>
  <si>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</si>
  <si>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</si>
  <si>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</si>
  <si>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</si>
  <si>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</si>
  <si>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</si>
  <si>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</si>
  <si>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</si>
  <si>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</si>
  <si>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</si>
  <si>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</si>
  <si>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</si>
  <si>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</si>
  <si>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</si>
  <si>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</si>
  <si>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</si>
  <si>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</si>
  <si>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</si>
  <si>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</si>
  <si>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</si>
  <si>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</si>
  <si>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</si>
  <si>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</si>
  <si>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</si>
  <si>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</si>
  <si>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</si>
  <si>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</si>
  <si>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</si>
  <si>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</si>
  <si>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</si>
  <si>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</si>
  <si>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</si>
  <si>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</si>
  <si>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</si>
  <si>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</si>
  <si>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</si>
  <si>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</si>
  <si>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</si>
  <si>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</si>
  <si>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</si>
  <si>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</si>
  <si>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</si>
  <si>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</si>
  <si>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</si>
  <si>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</si>
  <si>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</si>
  <si>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</si>
  <si>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</si>
  <si>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</si>
  <si>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</si>
  <si>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</si>
  <si>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</si>
  <si>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</si>
  <si>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</si>
  <si>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</si>
  <si>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</si>
  <si>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</si>
  <si>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</si>
  <si>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</si>
  <si>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</si>
  <si>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</si>
  <si>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</si>
  <si>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</si>
  <si>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</si>
  <si>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</si>
  <si>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</si>
  <si>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</si>
  <si>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</si>
  <si>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</si>
  <si>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</si>
  <si>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</si>
  <si>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</si>
  <si>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</si>
  <si>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</si>
  <si>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</si>
  <si>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</si>
  <si>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</si>
  <si>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</si>
  <si>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</si>
  <si>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</si>
  <si>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</si>
  <si>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</si>
  <si>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</si>
  <si>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</si>
  <si>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</si>
  <si>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</si>
  <si>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</si>
  <si>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</si>
  <si>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</si>
  <si>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</si>
  <si>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</si>
  <si>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</si>
  <si>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</si>
  <si>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</si>
  <si>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</si>
  <si>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</si>
  <si>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</si>
  <si>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</si>
  <si>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</si>
  <si>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</si>
  <si>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</si>
  <si>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</si>
  <si>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</si>
  <si>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</si>
  <si>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</si>
  <si>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</si>
  <si>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</si>
  <si>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</si>
  <si>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</si>
  <si>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</si>
  <si>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</si>
  <si>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</si>
  <si>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</si>
  <si>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</si>
  <si>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</si>
  <si>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</si>
  <si>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</si>
  <si>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</si>
  <si>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</si>
  <si>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</si>
  <si>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</si>
  <si>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</si>
  <si>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</si>
  <si>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</si>
  <si>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</si>
  <si>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</si>
  <si>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</si>
  <si>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</si>
  <si>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</si>
  <si>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</si>
  <si>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</si>
  <si>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</si>
  <si>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</si>
  <si>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</si>
  <si>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</si>
  <si>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</si>
  <si>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</si>
  <si>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</si>
  <si>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</si>
  <si>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</si>
  <si>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</si>
  <si>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</si>
  <si>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</si>
  <si>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</si>
  <si>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</si>
  <si>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</si>
  <si>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</si>
  <si>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</si>
  <si>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</si>
  <si>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</si>
  <si>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</si>
  <si>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</si>
  <si>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</si>
  <si>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</si>
  <si>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</si>
  <si>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</si>
  <si>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</si>
  <si>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</si>
  <si>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</si>
  <si>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</si>
  <si>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</si>
  <si>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</si>
  <si>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</si>
  <si>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</si>
  <si>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</si>
  <si>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</si>
  <si>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</si>
  <si>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</si>
  <si>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</si>
  <si>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</si>
  <si>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</si>
  <si>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</si>
  <si>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</si>
  <si>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</si>
  <si>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</si>
  <si>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</si>
  <si>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</si>
  <si>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</si>
  <si>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</si>
  <si>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</si>
  <si>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</si>
  <si>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</si>
  <si>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</si>
  <si>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</si>
  <si>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</si>
  <si>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</si>
  <si>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</si>
  <si>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</si>
  <si>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</si>
  <si>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</si>
  <si>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</si>
  <si>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</si>
  <si>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</si>
  <si>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</si>
  <si>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</si>
  <si>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</si>
  <si>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</si>
  <si>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</si>
  <si>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</si>
  <si>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</si>
  <si>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</si>
  <si>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</si>
  <si>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</si>
  <si>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</si>
  <si>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</si>
  <si>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</si>
  <si>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</si>
  <si>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</si>
  <si>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</si>
  <si>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</si>
  <si>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</si>
  <si>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</si>
  <si>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</si>
  <si>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</si>
  <si>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</si>
  <si>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</si>
  <si>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</si>
  <si>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</si>
  <si>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</si>
  <si>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</si>
  <si>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</si>
  <si>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</si>
  <si>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</si>
  <si>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</si>
  <si>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</si>
  <si>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</si>
  <si>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</si>
  <si>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</si>
  <si>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</si>
  <si>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</si>
  <si>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</si>
  <si>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</si>
  <si>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</si>
  <si>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</si>
  <si>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</si>
  <si>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</si>
  <si>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</si>
  <si>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</si>
  <si>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</si>
  <si>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</si>
  <si>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</si>
  <si>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</si>
  <si>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</si>
  <si>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</si>
  <si>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</si>
  <si>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</si>
  <si>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</si>
  <si>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</si>
  <si>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</si>
  <si>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</si>
  <si>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</si>
  <si>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</si>
  <si>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</si>
  <si>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</si>
  <si>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</si>
  <si>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</si>
  <si>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</si>
  <si>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</si>
  <si>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</si>
  <si>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</si>
  <si>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</si>
  <si>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</si>
  <si>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</si>
  <si>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</si>
  <si>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</si>
  <si>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</si>
  <si>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</si>
  <si>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</si>
  <si>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</si>
  <si>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</si>
  <si>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</si>
  <si>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</si>
  <si>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</si>
  <si>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</si>
  <si>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</si>
  <si>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</si>
  <si>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</si>
  <si>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</si>
  <si>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</si>
  <si>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</si>
  <si>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</si>
  <si>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</si>
  <si>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</si>
  <si>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</si>
  <si>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</si>
  <si>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</si>
  <si>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</si>
  <si>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</si>
  <si>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</si>
  <si>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</si>
  <si>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</si>
  <si>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</si>
  <si>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</si>
  <si>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</si>
  <si>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</si>
  <si>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</si>
  <si>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</si>
  <si>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</si>
  <si>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</si>
  <si>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</si>
  <si>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</si>
  <si>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</si>
  <si>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</si>
  <si>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</si>
  <si>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</si>
  <si>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</si>
  <si>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</si>
  <si>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</si>
  <si>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</si>
  <si>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</si>
  <si>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</si>
  <si>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</si>
  <si>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</si>
  <si>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</si>
  <si>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</si>
  <si>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</si>
  <si>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</si>
  <si>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</si>
  <si>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</si>
  <si>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</si>
  <si>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</si>
  <si>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</si>
  <si>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</si>
  <si>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</si>
  <si>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</si>
  <si>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</si>
  <si>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</si>
  <si>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</si>
  <si>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</si>
  <si>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</si>
  <si>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</si>
  <si>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</si>
  <si>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</si>
  <si>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</si>
  <si>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</si>
  <si>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</si>
  <si>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</si>
  <si>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</si>
  <si>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</si>
  <si>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</si>
  <si>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</si>
  <si>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</si>
  <si>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</si>
  <si>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</si>
  <si>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</si>
  <si>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</si>
  <si>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</si>
  <si>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</si>
  <si>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</si>
  <si>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</si>
  <si>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</si>
  <si>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</si>
  <si>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</si>
  <si>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</si>
  <si>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</si>
  <si>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</si>
  <si>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</si>
  <si>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</si>
  <si>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</si>
  <si>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</si>
  <si>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</si>
  <si>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</si>
  <si>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</si>
  <si>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</si>
  <si>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</si>
  <si>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</si>
  <si>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</si>
  <si>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</si>
  <si>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</si>
  <si>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</si>
  <si>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</si>
  <si>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</si>
  <si>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</si>
  <si>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</si>
  <si>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</si>
  <si>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</si>
  <si>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</si>
  <si>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</si>
  <si>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</si>
  <si>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</si>
  <si>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</si>
  <si>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</si>
  <si>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</si>
  <si>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</si>
  <si>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</si>
  <si>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</si>
  <si>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</si>
  <si>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</si>
  <si>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</si>
  <si>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</si>
  <si>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</si>
  <si>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</si>
  <si>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</si>
  <si>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</si>
  <si>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</si>
  <si>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</si>
  <si>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</si>
  <si>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</si>
  <si>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</si>
  <si>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</si>
  <si>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</si>
  <si>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</si>
  <si>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</si>
  <si>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</si>
  <si>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</si>
  <si>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</si>
  <si>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</si>
  <si>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</si>
  <si>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</si>
  <si>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</si>
  <si>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</si>
  <si>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</si>
  <si>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</si>
  <si>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</si>
  <si>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</si>
  <si>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</si>
  <si>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</si>
  <si>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</si>
  <si>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</si>
  <si>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</si>
  <si>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</si>
  <si>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</si>
  <si>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</si>
  <si>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</si>
  <si>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</si>
  <si>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</si>
  <si>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</si>
  <si>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</si>
  <si>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</si>
  <si>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</si>
  <si>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</si>
  <si>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</si>
  <si>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</si>
  <si>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</si>
  <si>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</si>
  <si>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</si>
  <si>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</si>
  <si>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</si>
  <si>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</si>
  <si>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</si>
  <si>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</si>
  <si>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</si>
  <si>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</si>
  <si>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</si>
  <si>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</si>
  <si>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</si>
  <si>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</si>
  <si>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</si>
  <si>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</si>
  <si>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</si>
  <si>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</si>
  <si>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</si>
  <si>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</si>
  <si>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</si>
  <si>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</si>
  <si>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</si>
  <si>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</si>
  <si>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</si>
  <si>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</si>
  <si>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</si>
  <si>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</si>
  <si>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</si>
  <si>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</si>
  <si>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</si>
  <si>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</si>
  <si>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</si>
  <si>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</si>
  <si>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</si>
  <si>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</si>
  <si>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</si>
  <si>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</si>
  <si>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</si>
  <si>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</si>
  <si>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</si>
  <si>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</si>
  <si>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</si>
  <si>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</si>
  <si>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</si>
  <si>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</si>
  <si>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</si>
  <si>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</si>
  <si>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</si>
  <si>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</si>
  <si>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</si>
  <si>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</si>
  <si>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</si>
  <si>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</si>
  <si>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</si>
  <si>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</si>
  <si>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</si>
  <si>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</si>
  <si>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</si>
  <si>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</si>
  <si>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</si>
  <si>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</si>
  <si>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</si>
  <si>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</si>
  <si>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</si>
  <si>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</si>
  <si>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</si>
  <si>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</si>
  <si>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</si>
  <si>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</si>
  <si>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</si>
  <si>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</si>
  <si>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</si>
  <si>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</si>
  <si>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</si>
  <si>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</si>
  <si>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</si>
  <si>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</si>
  <si>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</si>
  <si>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</si>
  <si>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</si>
  <si>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</si>
  <si>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</si>
  <si>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</si>
  <si>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</si>
  <si>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</si>
  <si>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</si>
  <si>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</si>
  <si>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</si>
  <si>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</si>
  <si>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</si>
  <si>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</si>
  <si>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</si>
  <si>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</si>
  <si>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</si>
  <si>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</si>
  <si>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</si>
  <si>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</si>
  <si>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</si>
  <si>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</si>
  <si>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</si>
  <si>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</si>
  <si>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</si>
  <si>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</si>
  <si>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</si>
  <si>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</si>
  <si>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</si>
  <si>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</si>
  <si>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</si>
  <si>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</si>
  <si>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</si>
  <si>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</si>
  <si>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</si>
  <si>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</si>
  <si>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</si>
  <si>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</si>
  <si>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</si>
  <si>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</si>
  <si>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</si>
  <si>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</si>
  <si>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</si>
  <si>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</si>
  <si>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</si>
  <si>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</si>
  <si>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</si>
  <si>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</si>
  <si>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</si>
  <si>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</si>
  <si>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</si>
  <si>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</si>
  <si>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</si>
  <si>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</si>
  <si>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</si>
  <si>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</si>
  <si>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</si>
  <si>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</si>
  <si>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</si>
  <si>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</si>
  <si>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</si>
  <si>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</si>
  <si>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</si>
  <si>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</si>
  <si>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</si>
  <si>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</si>
  <si>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</si>
  <si>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</si>
  <si>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</si>
  <si>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</si>
  <si>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</si>
  <si>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</si>
  <si>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</si>
  <si>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</si>
  <si>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</si>
  <si>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</si>
  <si>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</si>
  <si>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</si>
  <si>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</si>
  <si>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</si>
  <si>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</si>
  <si>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</si>
  <si>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</si>
  <si>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</si>
  <si>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</si>
  <si>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</si>
  <si>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</si>
  <si>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</si>
  <si>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</si>
  <si>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</si>
  <si>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</si>
  <si>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</si>
  <si>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</si>
  <si>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</si>
  <si>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</si>
  <si>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</si>
  <si>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</si>
  <si>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</si>
  <si>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</si>
  <si>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</si>
  <si>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</si>
  <si>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</si>
  <si>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</si>
  <si>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</si>
  <si>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</si>
  <si>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</si>
  <si>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</si>
  <si>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</si>
  <si>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</si>
  <si>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</si>
  <si>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</si>
  <si>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</si>
  <si>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</si>
  <si>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</si>
  <si>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</si>
  <si>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</si>
  <si>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</si>
  <si>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</si>
  <si>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</si>
  <si>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</si>
  <si>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</si>
  <si>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</si>
  <si>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</si>
  <si>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</si>
  <si>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</si>
  <si>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</si>
  <si>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</si>
  <si>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</si>
  <si>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</si>
  <si>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</si>
  <si>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</si>
  <si>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</si>
  <si>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</si>
  <si>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</si>
  <si>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</si>
  <si>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</si>
  <si>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</si>
  <si>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</si>
  <si>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</si>
  <si>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</si>
  <si>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</si>
  <si>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</si>
  <si>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</si>
  <si>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</si>
  <si>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</si>
  <si>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</si>
  <si>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</si>
  <si>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</si>
  <si>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</si>
  <si>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</si>
  <si>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</si>
  <si>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</si>
  <si>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</si>
  <si>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</si>
  <si>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</si>
  <si>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</si>
  <si>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</si>
  <si>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</si>
  <si>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</si>
  <si>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</si>
  <si>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</si>
  <si>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</si>
  <si>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</si>
  <si>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</si>
  <si>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</si>
  <si>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</si>
  <si>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</si>
  <si>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</si>
  <si>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</si>
  <si>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</si>
  <si>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</si>
  <si>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</si>
  <si>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</si>
  <si>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</si>
  <si>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</si>
  <si>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</si>
  <si>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</si>
  <si>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</si>
  <si>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</si>
  <si>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</si>
  <si>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</si>
  <si>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</si>
  <si>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</si>
  <si>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</si>
  <si>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</si>
  <si>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</si>
  <si>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</si>
  <si>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</si>
  <si>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</si>
  <si>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</si>
  <si>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</si>
  <si>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</si>
  <si>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</si>
  <si>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</si>
  <si>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</si>
  <si>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</si>
  <si>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</si>
  <si>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</si>
  <si>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</si>
  <si>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</si>
  <si>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</si>
  <si>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</si>
  <si>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</si>
  <si>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</si>
  <si>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</si>
  <si>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</si>
  <si>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</si>
  <si>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</si>
  <si>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</si>
  <si>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</si>
  <si>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</si>
  <si>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</si>
  <si>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</si>
  <si>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</si>
  <si>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</si>
  <si>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</si>
  <si>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</si>
  <si>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</si>
  <si>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</si>
  <si>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</si>
  <si>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</si>
  <si>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</si>
  <si>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</si>
  <si>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</si>
  <si>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</si>
  <si>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</si>
  <si>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</si>
  <si>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</si>
  <si>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</si>
  <si>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</si>
  <si>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</si>
  <si>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</si>
  <si>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</si>
  <si>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</si>
  <si>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</si>
  <si>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</si>
  <si>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</si>
  <si>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</si>
  <si>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</si>
  <si>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</si>
  <si>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</si>
  <si>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</si>
  <si>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</si>
  <si>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</si>
  <si>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</si>
  <si>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</si>
  <si>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</si>
  <si>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</si>
  <si>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</si>
  <si>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</si>
  <si>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</si>
  <si>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</si>
  <si>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</si>
  <si>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</si>
  <si>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</si>
  <si>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</si>
  <si>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</si>
  <si>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</si>
  <si>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</si>
  <si>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</si>
  <si>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</si>
  <si>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</si>
  <si>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</si>
  <si>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</si>
  <si>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</si>
  <si>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</si>
  <si>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</si>
  <si>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</si>
  <si>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</si>
  <si>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</si>
  <si>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</si>
  <si>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</si>
  <si>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</si>
  <si>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</si>
  <si>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</si>
  <si>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</si>
  <si>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</si>
  <si>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</si>
  <si>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</si>
  <si>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</si>
  <si>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</si>
  <si>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</si>
  <si>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</si>
  <si>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</si>
  <si>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</si>
  <si>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</si>
  <si>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</si>
  <si>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</si>
  <si>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</si>
  <si>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</si>
  <si>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</si>
  <si>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</si>
  <si>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</si>
  <si>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</si>
  <si>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</si>
  <si>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</si>
  <si>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</si>
  <si>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</si>
  <si>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</si>
  <si>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</si>
  <si>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</si>
  <si>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</si>
  <si>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</si>
  <si>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</si>
  <si>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</si>
  <si>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</si>
  <si>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</si>
  <si>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</si>
  <si>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</si>
  <si>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</si>
  <si>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</si>
  <si>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</si>
  <si>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</si>
  <si>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</si>
  <si>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</si>
  <si>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</si>
  <si>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</si>
  <si>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</si>
  <si>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</si>
  <si>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</si>
  <si>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</si>
  <si>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</si>
  <si>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</si>
  <si>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</si>
  <si>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</si>
  <si>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</si>
  <si>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</si>
  <si>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</si>
  <si>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</si>
  <si>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</si>
  <si>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</si>
  <si>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</si>
  <si>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</si>
  <si>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</si>
  <si>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</si>
  <si>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</si>
  <si>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</si>
  <si>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</si>
  <si>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</si>
  <si>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</si>
  <si>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</si>
  <si>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</si>
  <si>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</si>
  <si>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</si>
  <si>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</si>
  <si>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</si>
  <si>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</si>
  <si>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</si>
  <si>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</si>
  <si>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</si>
  <si>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</si>
  <si>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</si>
  <si>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</si>
  <si>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</si>
  <si>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</si>
  <si>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</si>
  <si>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</si>
  <si>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</si>
  <si>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</si>
  <si>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</si>
  <si>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</si>
  <si>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</si>
  <si>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</si>
  <si>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</si>
  <si>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</si>
  <si>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</si>
  <si>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</si>
  <si>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</si>
  <si>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</si>
  <si>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</si>
  <si>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</si>
  <si>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</si>
  <si>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</si>
  <si>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</si>
  <si>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</si>
  <si>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</si>
  <si>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</si>
  <si>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</si>
  <si>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</si>
  <si>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</si>
  <si>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</si>
  <si>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</si>
  <si>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</si>
  <si>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</si>
  <si>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</si>
  <si>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</si>
  <si>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</si>
  <si>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</si>
  <si>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</si>
  <si>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</si>
  <si>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</si>
  <si>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</si>
  <si>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</si>
  <si>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</si>
  <si>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</si>
  <si>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</si>
  <si>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</si>
  <si>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</si>
  <si>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</si>
  <si>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</si>
  <si>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</si>
  <si>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</si>
  <si>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</si>
  <si>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</si>
  <si>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</si>
  <si>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</si>
  <si>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</si>
  <si>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</si>
  <si>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</si>
  <si>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</si>
  <si>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</si>
  <si>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</si>
  <si>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</si>
  <si>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</si>
  <si>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</si>
  <si>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</si>
  <si>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</si>
  <si>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</si>
  <si>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</si>
  <si>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</si>
  <si>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</si>
  <si>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</si>
  <si>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</si>
  <si>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</si>
  <si>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</si>
  <si>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</si>
  <si>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</si>
  <si>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</si>
  <si>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</si>
  <si>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</si>
  <si>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</si>
  <si>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</si>
  <si>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</si>
  <si>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</si>
  <si>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</si>
  <si>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</si>
  <si>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</si>
  <si>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</si>
  <si>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</si>
  <si>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</si>
  <si>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</si>
  <si>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</si>
  <si>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</si>
  <si>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</si>
  <si>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</si>
  <si>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</si>
  <si>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</si>
  <si>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</si>
  <si>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</si>
  <si>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</si>
  <si>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</si>
  <si>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</si>
  <si>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</si>
  <si>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</si>
  <si>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</si>
  <si>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</si>
  <si>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</si>
  <si>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</si>
  <si>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</si>
  <si>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</si>
  <si>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</si>
  <si>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</si>
  <si>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</si>
  <si>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</si>
  <si>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</si>
  <si>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</si>
  <si>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</si>
  <si>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</si>
  <si>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</si>
  <si>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</si>
  <si>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</si>
  <si>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</si>
  <si>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</si>
  <si>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</si>
  <si>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</si>
  <si>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</si>
  <si>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</si>
  <si>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</si>
  <si>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</si>
  <si>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</si>
  <si>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</si>
  <si>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</si>
  <si>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</si>
  <si>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</si>
  <si>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</si>
  <si>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</si>
  <si>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</si>
  <si>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</si>
  <si>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</si>
  <si>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</si>
  <si>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</si>
  <si>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</si>
  <si>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</si>
  <si>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</si>
  <si>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</si>
  <si>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</si>
  <si>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</si>
  <si>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</si>
  <si>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</si>
  <si>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</si>
  <si>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</si>
  <si>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</si>
  <si>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</si>
  <si>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</si>
  <si>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</si>
  <si>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</si>
  <si>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</si>
  <si>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</si>
  <si>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</si>
  <si>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</si>
  <si>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</si>
  <si>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</si>
  <si>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</si>
  <si>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</si>
  <si>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</si>
  <si>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</si>
  <si>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</si>
  <si>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</si>
  <si>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</si>
  <si>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</si>
  <si>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</si>
  <si>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</si>
  <si>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</si>
  <si>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</si>
  <si>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</si>
  <si>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</si>
  <si>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</si>
  <si>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</si>
  <si>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</si>
  <si>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</si>
  <si>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</si>
  <si>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</si>
  <si>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</si>
  <si>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</si>
  <si>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</si>
  <si>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</si>
  <si>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</si>
  <si>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</si>
  <si>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</si>
  <si>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</si>
  <si>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</si>
  <si>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</si>
  <si>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</si>
  <si>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</si>
  <si>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</si>
  <si>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</si>
  <si>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</si>
  <si>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</si>
  <si>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</si>
  <si>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</si>
  <si>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</si>
  <si>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</si>
  <si>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</si>
  <si>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</si>
  <si>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</si>
  <si>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</si>
  <si>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</si>
  <si>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</si>
  <si>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</si>
  <si>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</si>
  <si>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</si>
  <si>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</si>
  <si>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</si>
  <si>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</si>
  <si>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</si>
  <si>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</si>
  <si>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</si>
  <si>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</si>
  <si>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</si>
  <si>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</si>
  <si>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</si>
  <si>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</si>
  <si>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</si>
  <si>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</si>
  <si>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</si>
  <si>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</si>
  <si>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</si>
  <si>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</si>
  <si>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</si>
  <si>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</si>
  <si>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</si>
  <si>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</si>
  <si>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</si>
  <si>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</si>
  <si>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</si>
  <si>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</si>
  <si>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</si>
  <si>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</si>
  <si>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</si>
  <si>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</si>
  <si>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</si>
  <si>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</si>
  <si>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</si>
  <si>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</si>
  <si>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</si>
  <si>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</si>
  <si>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</si>
  <si>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</si>
  <si>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</si>
  <si>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</si>
  <si>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</si>
  <si>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</si>
  <si>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</si>
  <si>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</si>
  <si>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</si>
  <si>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</si>
  <si>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</si>
  <si>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</si>
  <si>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</si>
  <si>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</si>
  <si>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</si>
  <si>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</si>
  <si>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</si>
  <si>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</si>
  <si>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</si>
  <si>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</si>
  <si>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</si>
  <si>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</si>
  <si>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</si>
  <si>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</si>
  <si>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</si>
  <si>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</si>
  <si>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</si>
  <si>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</si>
  <si>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</si>
  <si>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</si>
  <si>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</si>
  <si>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</si>
  <si>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</si>
  <si>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</si>
  <si>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</si>
  <si>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</si>
  <si>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</si>
  <si>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</si>
  <si>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</si>
  <si>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</si>
  <si>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</si>
  <si>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</si>
  <si>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</si>
  <si>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</si>
  <si>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</si>
  <si>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</si>
  <si>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</si>
  <si>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</si>
  <si>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</si>
  <si>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</si>
  <si>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</si>
  <si>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</si>
  <si>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</si>
  <si>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</si>
  <si>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</si>
  <si>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</si>
  <si>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</si>
  <si>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</si>
  <si>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</si>
  <si>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</si>
  <si>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</si>
  <si>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</si>
  <si>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</si>
  <si>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</si>
  <si>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</si>
  <si>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</si>
  <si>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</si>
  <si>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</si>
  <si>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</si>
  <si>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</si>
  <si>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</si>
  <si>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</si>
  <si>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</si>
  <si>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</si>
  <si>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</si>
  <si>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</si>
  <si>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</si>
  <si>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</si>
  <si>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</si>
  <si>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</si>
  <si>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</si>
  <si>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</si>
  <si>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</si>
  <si>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</si>
  <si>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</si>
  <si>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</si>
  <si>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</si>
  <si>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</si>
  <si>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</si>
  <si>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</si>
  <si>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</si>
  <si>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</si>
  <si>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</si>
  <si>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</si>
  <si>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</si>
  <si>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</si>
  <si>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</si>
  <si>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</si>
  <si>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</si>
  <si>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</si>
  <si>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</si>
  <si>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</si>
  <si>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</si>
  <si>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</si>
  <si>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</si>
  <si>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</si>
  <si>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</si>
  <si>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</si>
  <si>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</si>
  <si>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</si>
  <si>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</si>
  <si>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</si>
  <si>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</si>
  <si>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</si>
  <si>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</si>
  <si>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</si>
  <si>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</si>
  <si>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</si>
  <si>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</si>
  <si>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</si>
  <si>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</si>
  <si>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</si>
  <si>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</si>
  <si>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</si>
  <si>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</si>
  <si>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</si>
  <si>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</si>
  <si>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</si>
  <si>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</si>
  <si>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</si>
  <si>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</si>
  <si>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</si>
  <si>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</si>
  <si>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</si>
  <si>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</si>
  <si>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</si>
  <si>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</si>
  <si>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</si>
  <si>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</si>
  <si>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</si>
  <si>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</si>
  <si>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</si>
  <si>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</si>
  <si>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</si>
  <si>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</si>
  <si>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</si>
  <si>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</si>
  <si>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</si>
  <si>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</si>
  <si>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</si>
  <si>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</si>
  <si>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</si>
  <si>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</si>
  <si>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</si>
  <si>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</si>
  <si>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</si>
  <si>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</si>
  <si>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</si>
  <si>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</si>
  <si>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</si>
  <si>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</si>
  <si>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</si>
  <si>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</si>
  <si>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</si>
  <si>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</si>
  <si>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</si>
  <si>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</si>
  <si>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</si>
  <si>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</si>
  <si>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</si>
  <si>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</si>
  <si>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</si>
  <si>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</si>
  <si>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</si>
  <si>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</si>
  <si>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</si>
  <si>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</si>
  <si>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</si>
  <si>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</si>
  <si>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</si>
  <si>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</si>
  <si>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</si>
  <si>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</si>
  <si>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</si>
  <si>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</si>
  <si>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</si>
  <si>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</si>
  <si>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</si>
  <si>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</si>
  <si>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</si>
  <si>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</si>
  <si>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</si>
  <si>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</si>
  <si>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</si>
  <si>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</si>
  <si>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</si>
  <si>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</si>
  <si>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</si>
  <si>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</si>
  <si>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</si>
  <si>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</si>
  <si>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</si>
  <si>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</si>
  <si>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</si>
  <si>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</si>
  <si>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</si>
  <si>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</si>
  <si>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</si>
  <si>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</si>
  <si>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</si>
  <si>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</si>
  <si>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</si>
  <si>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</si>
  <si>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</si>
  <si>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</si>
  <si>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</si>
  <si>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</si>
  <si>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</si>
  <si>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</si>
  <si>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</si>
  <si>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</si>
  <si>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</si>
  <si>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</si>
  <si>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</si>
  <si>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</si>
  <si>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</si>
  <si>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</si>
  <si>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</si>
  <si>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</si>
  <si>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</si>
  <si>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</si>
  <si>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</si>
  <si>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</si>
  <si>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</si>
  <si>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</si>
  <si>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</si>
  <si>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</si>
  <si>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</si>
  <si>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</si>
  <si>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</si>
  <si>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</si>
  <si>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</si>
  <si>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</si>
  <si>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</si>
  <si>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</si>
  <si>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</si>
  <si>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</si>
  <si>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</si>
  <si>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</si>
  <si>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</si>
  <si>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</si>
  <si>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</si>
  <si>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</si>
  <si>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</si>
  <si>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</si>
  <si>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</si>
  <si>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</si>
  <si>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</si>
  <si>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</si>
  <si>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</si>
  <si>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</si>
  <si>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</si>
  <si>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</si>
  <si>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</si>
  <si>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</si>
  <si>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</si>
  <si>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</si>
  <si>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</si>
  <si>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</si>
  <si>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</si>
  <si>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</si>
  <si>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</si>
  <si>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</si>
  <si>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</si>
  <si>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</si>
  <si>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</si>
  <si>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</si>
  <si>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</si>
  <si>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</si>
  <si>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</si>
  <si>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</si>
  <si>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</si>
  <si>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</si>
  <si>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</si>
  <si>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</si>
  <si>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</si>
  <si>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</si>
  <si>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</si>
  <si>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</si>
  <si>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</si>
  <si>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</si>
  <si>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</si>
  <si>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</si>
  <si>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</si>
  <si>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</si>
  <si>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</si>
  <si>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</si>
  <si>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</si>
  <si>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</si>
  <si>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</si>
  <si>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</si>
  <si>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</si>
  <si>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</si>
  <si>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</si>
  <si>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</si>
  <si>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</si>
  <si>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</si>
  <si>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</si>
  <si>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</si>
  <si>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</si>
  <si>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</si>
  <si>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</si>
  <si>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</si>
  <si>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</si>
  <si>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</si>
  <si>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</si>
  <si>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</si>
  <si>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</si>
  <si>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</si>
  <si>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</si>
  <si>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</si>
  <si>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</si>
  <si>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</si>
  <si>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</si>
  <si>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</si>
  <si>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</si>
  <si>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</si>
  <si>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</si>
  <si>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</si>
  <si>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</si>
  <si>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</si>
  <si>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</si>
  <si>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</si>
  <si>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</si>
  <si>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</si>
  <si>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</si>
  <si>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</si>
  <si>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</si>
  <si>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</si>
  <si>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</si>
  <si>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</si>
  <si>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</si>
  <si>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</si>
  <si>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</si>
  <si>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</si>
  <si>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</si>
  <si>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</si>
  <si>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</si>
  <si>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</si>
  <si>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</si>
  <si>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</si>
  <si>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</si>
  <si>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</si>
  <si>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</si>
  <si>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</si>
  <si>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</si>
  <si>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</si>
  <si>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</si>
  <si>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</si>
  <si>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</si>
  <si>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</si>
  <si>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</si>
  <si>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</si>
  <si>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</si>
  <si>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</si>
  <si>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</si>
  <si>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</si>
  <si>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</si>
  <si>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</si>
  <si>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</si>
  <si>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</si>
  <si>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</si>
  <si>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</si>
  <si>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</si>
  <si>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</si>
  <si>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</si>
  <si>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</si>
  <si>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</si>
  <si>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</si>
  <si>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</si>
  <si>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</si>
  <si>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</si>
  <si>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</si>
  <si>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</si>
  <si>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</si>
  <si>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</si>
  <si>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</si>
  <si>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</si>
  <si>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</si>
  <si>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</si>
  <si>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</si>
  <si>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</si>
  <si>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</si>
  <si>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</si>
  <si>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</si>
  <si>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</si>
  <si>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</si>
  <si>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</si>
  <si>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</si>
  <si>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</si>
  <si>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</si>
  <si>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</si>
  <si>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</si>
  <si>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</si>
  <si>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</si>
  <si>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</si>
  <si>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</si>
  <si>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</si>
  <si>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</si>
  <si>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</si>
  <si>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</si>
  <si>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</si>
  <si>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</si>
  <si>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</si>
  <si>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</si>
  <si>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</si>
  <si>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</si>
  <si>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</si>
  <si>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</si>
  <si>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</si>
  <si>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</si>
  <si>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</si>
  <si>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</si>
  <si>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</si>
  <si>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</si>
  <si>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</si>
  <si>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</si>
  <si>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</si>
  <si>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</si>
  <si>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</si>
  <si>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</si>
  <si>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</si>
  <si>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</si>
  <si>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</si>
  <si>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</si>
  <si>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</si>
  <si>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</si>
  <si>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</si>
  <si>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</si>
  <si>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</si>
  <si>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</si>
  <si>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</si>
  <si>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</si>
  <si>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</si>
  <si>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</si>
  <si>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</si>
  <si>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</si>
  <si>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</si>
  <si>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</si>
  <si>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</si>
  <si>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</si>
  <si>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</si>
  <si>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</si>
  <si>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</si>
  <si>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</si>
  <si>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</si>
  <si>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</si>
  <si>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</si>
  <si>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</si>
  <si>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</si>
  <si>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</si>
  <si>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</si>
  <si>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</si>
  <si>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</si>
  <si>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</si>
  <si>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</si>
  <si>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</si>
  <si>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</si>
  <si>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</si>
  <si>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</si>
  <si>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</si>
  <si>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</si>
  <si>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</si>
  <si>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</si>
  <si>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</si>
  <si>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</si>
  <si>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</si>
  <si>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</si>
  <si>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</si>
  <si>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</si>
  <si>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</si>
  <si>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</si>
  <si>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</si>
  <si>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</si>
  <si>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02341603</t>
  </si>
  <si>
    <t>080644917</t>
  </si>
  <si>
    <t>21507021048</t>
  </si>
  <si>
    <t>ZELENJAK PLIN d.o.o.</t>
  </si>
  <si>
    <t>KLANJEC</t>
  </si>
  <si>
    <t>TRG ANTUNA MIHANOVIĆA 1</t>
  </si>
  <si>
    <t>www-zelenjak-plin.hr</t>
  </si>
  <si>
    <t>TIHOMIR KUŠANIĆ</t>
  </si>
  <si>
    <t>049/551-049</t>
  </si>
  <si>
    <t>049/551-055</t>
  </si>
  <si>
    <t>tihomir.kusanic@zelenjak-plin.hr</t>
  </si>
  <si>
    <t>ŽELJKO ILIĆ</t>
  </si>
  <si>
    <t>info@zelenjak-plin.hr</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</si>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</sst>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5"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3"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93895.52</v>
      </c>
      <c r="I3" s="27">
        <f>ABS(ROUND(J3,0)-J3)+ABS(ROUND(K3,0)-K3)</f>
        <v>0</v>
      </c>
      <c r="J3" s="75">
        <f>Bilanca!K11</f>
        <v>1524520</v>
      </c>
      <c r="K3" s="76">
        <f>Bilanca!L11</f>
        <v>1585128</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02341603</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080644917</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21507021048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ZELENJAK PLIN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49290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KLANJEC</v>
      </c>
      <c r="C11" s="27"/>
      <c r="D11" s="27" t="s">
        <v>2272</v>
      </c>
      <c r="E11" s="27">
        <v>1</v>
      </c>
      <c r="F11" s="27">
        <f>Bilanca!I19</f>
        <v>10</v>
      </c>
      <c r="G11" s="27">
        <f>IF(Bilanca!J19=0,"",Bilanca!J19)</f>
      </c>
      <c r="H11" s="224">
        <f t="shared" si="1"/>
        <v>469477.60000000003</v>
      </c>
      <c r="I11" s="27">
        <f t="shared" si="2"/>
        <v>0</v>
      </c>
      <c r="J11" s="75">
        <f>Bilanca!K19</f>
        <v>1524520</v>
      </c>
      <c r="K11" s="76">
        <f>Bilanca!L19</f>
        <v>1585128</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TRG ANTUNA MIHANOVIĆA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info@zelenjak-plin.hr</v>
      </c>
      <c r="C13" s="27"/>
      <c r="D13" s="27" t="s">
        <v>2272</v>
      </c>
      <c r="E13" s="27">
        <v>1</v>
      </c>
      <c r="F13" s="27">
        <f>Bilanca!I21</f>
        <v>12</v>
      </c>
      <c r="G13" s="27">
        <f>IF(Bilanca!J21=0,"",Bilanca!J21)</f>
      </c>
      <c r="H13" s="224">
        <f t="shared" si="1"/>
        <v>515943.96</v>
      </c>
      <c r="I13" s="27">
        <f t="shared" si="2"/>
        <v>0</v>
      </c>
      <c r="J13" s="75">
        <f>Bilanca!K21</f>
        <v>1402059</v>
      </c>
      <c r="K13" s="76">
        <f>Bilanca!L21</f>
        <v>1448737</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www-zelenjak-plin.hr</v>
      </c>
      <c r="C14" s="27"/>
      <c r="D14" s="27" t="s">
        <v>2272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02</v>
      </c>
      <c r="C15" s="27"/>
      <c r="D15" s="27" t="s">
        <v>2272</v>
      </c>
      <c r="E15" s="27">
        <v>1</v>
      </c>
      <c r="F15" s="27">
        <f>Bilanca!I23</f>
        <v>14</v>
      </c>
      <c r="G15" s="27">
        <f>IF(Bilanca!J23=0,"",Bilanca!J23)</f>
      </c>
      <c r="H15" s="224">
        <f t="shared" si="1"/>
        <v>55334.020000000004</v>
      </c>
      <c r="I15" s="27">
        <f t="shared" si="2"/>
        <v>0</v>
      </c>
      <c r="J15" s="75">
        <f>Bilanca!K23</f>
        <v>122461</v>
      </c>
      <c r="K15" s="76">
        <f>Bilanca!L23</f>
        <v>136391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187</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3522</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11</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10</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11</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10</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2506309.3200000003</v>
      </c>
      <c r="I35" s="27">
        <f t="shared" si="2"/>
        <v>0</v>
      </c>
      <c r="J35" s="75">
        <f>Bilanca!K43</f>
        <v>3018022</v>
      </c>
      <c r="K35" s="76">
        <f>Bilanca!L43</f>
        <v>2176738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78676.15000000001</v>
      </c>
      <c r="I36" s="77">
        <f t="shared" si="2"/>
        <v>0</v>
      </c>
      <c r="J36" s="75">
        <f>Bilanca!K44</f>
        <v>80323</v>
      </c>
      <c r="K36" s="76">
        <f>Bilanca!L44</f>
        <v>72233</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80924.04000000001</v>
      </c>
      <c r="I37" s="27">
        <f t="shared" si="2"/>
        <v>0</v>
      </c>
      <c r="J37" s="75">
        <f>Bilanca!K45</f>
        <v>80323</v>
      </c>
      <c r="K37" s="76">
        <f>Bilanca!L45</f>
        <v>72233</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TIHOMIR KUŠANIĆ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049/551-049</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049/551-055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tihomir.kusanic@zelenjak-plin.hr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ŽELJKO ILIĆ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2812663.11</v>
      </c>
      <c r="I44" s="77">
        <f t="shared" si="2"/>
        <v>0</v>
      </c>
      <c r="J44" s="75">
        <f>Bilanca!K52</f>
        <v>2780255</v>
      </c>
      <c r="K44" s="76">
        <f>Bilanca!L52</f>
        <v>1880411</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2987.16</v>
      </c>
      <c r="I45" s="27">
        <f aca="true" t="shared" si="4" ref="I45:I60">ABS(ROUND(J45,0)-J45)+ABS(ROUND(K45,0)-K45)</f>
        <v>0</v>
      </c>
      <c r="J45" s="75">
        <f>Bilanca!K53</f>
        <v>6789</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2937030.75</v>
      </c>
      <c r="I46" s="77">
        <f t="shared" si="4"/>
        <v>0</v>
      </c>
      <c r="J46" s="75">
        <f>Bilanca!K54</f>
        <v>2765949</v>
      </c>
      <c r="K46" s="76">
        <f>Bilanca!L54</f>
        <v>1880393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3625.44</v>
      </c>
      <c r="I49" s="27">
        <f t="shared" si="4"/>
        <v>0</v>
      </c>
      <c r="J49" s="75">
        <f>Bilanca!K57</f>
        <v>7517</v>
      </c>
      <c r="K49" s="76">
        <f>Bilanca!L57</f>
        <v>18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514313685.88000005</v>
      </c>
      <c r="C59" s="27"/>
      <c r="D59" s="27" t="s">
        <v>2272</v>
      </c>
      <c r="E59" s="27">
        <v>1</v>
      </c>
      <c r="F59" s="27">
        <f>Bilanca!I67</f>
        <v>58</v>
      </c>
      <c r="G59" s="27">
        <f>IF(Bilanca!J67=0,"",Bilanca!J67)</f>
      </c>
      <c r="H59" s="224">
        <f t="shared" si="3"/>
        <v>351266.56</v>
      </c>
      <c r="I59" s="27">
        <f t="shared" si="4"/>
        <v>0</v>
      </c>
      <c r="J59" s="75">
        <f>Bilanca!K67</f>
        <v>157444</v>
      </c>
      <c r="K59" s="76">
        <f>Bilanca!L67</f>
        <v>224094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7239764.4</v>
      </c>
      <c r="I61" s="27">
        <f>ABS(ROUND(J61,0)-J61)+ABS(ROUND(K61,0)-K61)</f>
        <v>0</v>
      </c>
      <c r="J61" s="75">
        <f>Bilanca!K69</f>
        <v>4542542</v>
      </c>
      <c r="K61" s="76">
        <f>Bilanca!L69</f>
        <v>3761866</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1769926.4</v>
      </c>
      <c r="I63" s="27">
        <f>ABS(ROUND(J63,0)-J63)+ABS(ROUND(K63,0)-K63)</f>
        <v>0</v>
      </c>
      <c r="J63" s="75">
        <f>Bilanca!K72</f>
        <v>898730</v>
      </c>
      <c r="K63" s="76">
        <f>Bilanca!L72</f>
        <v>977995</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151200</v>
      </c>
      <c r="I64" s="27">
        <f>ABS(ROUND(J64,0)-J64)+ABS(ROUND(K64,0)-K64)</f>
        <v>0</v>
      </c>
      <c r="J64" s="75">
        <f>Bilanca!K73</f>
        <v>80000</v>
      </c>
      <c r="K64" s="76">
        <f>Bilanca!L73</f>
        <v>80000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1168268.16</v>
      </c>
      <c r="I65" s="27">
        <f aca="true" t="shared" si="6" ref="I65:I98">ABS(ROUND(J65,0)-J65)+ABS(ROUND(K65,0)-K65)</f>
        <v>0</v>
      </c>
      <c r="J65" s="75">
        <f>Bilanca!K74</f>
        <v>608473</v>
      </c>
      <c r="K65" s="76">
        <f>Bilanca!L74</f>
        <v>608473</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428729.75999999995</v>
      </c>
      <c r="I73" s="27">
        <f t="shared" si="6"/>
        <v>0</v>
      </c>
      <c r="J73" s="75">
        <f>Bilanca!K82</f>
        <v>198486</v>
      </c>
      <c r="K73" s="76">
        <f>Bilanca!L82</f>
        <v>198486</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434684.33999999997</v>
      </c>
      <c r="I74" s="27">
        <f t="shared" si="6"/>
        <v>0</v>
      </c>
      <c r="J74" s="75">
        <f>Bilanca!K83</f>
        <v>198486</v>
      </c>
      <c r="K74" s="76">
        <f>Bilanca!L83</f>
        <v>198486</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145382.25</v>
      </c>
      <c r="I76" s="27">
        <f t="shared" si="6"/>
        <v>0</v>
      </c>
      <c r="J76" s="75">
        <f>Bilanca!K85</f>
        <v>11771</v>
      </c>
      <c r="K76" s="76">
        <f>Bilanca!L85</f>
        <v>91036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147320.68</v>
      </c>
      <c r="I77" s="27">
        <f t="shared" si="6"/>
        <v>0</v>
      </c>
      <c r="J77" s="75">
        <f>Bilanca!K86</f>
        <v>11771</v>
      </c>
      <c r="K77" s="76">
        <f>Bilanca!L86</f>
        <v>91036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53174.9</v>
      </c>
      <c r="I80" s="27">
        <f t="shared" si="6"/>
        <v>0</v>
      </c>
      <c r="J80" s="75">
        <f>Bilanca!K89</f>
        <v>0</v>
      </c>
      <c r="K80" s="76">
        <f>Bilanca!L89</f>
        <v>33655</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53848</v>
      </c>
      <c r="I81" s="27">
        <f t="shared" si="6"/>
        <v>0</v>
      </c>
      <c r="J81" s="75">
        <f>Bilanca!K90</f>
        <v>0</v>
      </c>
      <c r="K81" s="76">
        <f>Bilanca!L90</f>
        <v>33655</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64125.799999999996</v>
      </c>
      <c r="I84" s="27">
        <f t="shared" si="6"/>
        <v>0</v>
      </c>
      <c r="J84" s="75">
        <f>Bilanca!K93</f>
        <v>41682</v>
      </c>
      <c r="K84" s="76">
        <f>Bilanca!L93</f>
        <v>17789</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65671</v>
      </c>
      <c r="I86" s="27">
        <f t="shared" si="6"/>
        <v>0</v>
      </c>
      <c r="J86" s="75">
        <f>Bilanca!K95</f>
        <v>41682</v>
      </c>
      <c r="K86" s="76">
        <f>Bilanca!L95</f>
        <v>17789</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5477752.08</v>
      </c>
      <c r="I94" s="27">
        <f t="shared" si="6"/>
        <v>0</v>
      </c>
      <c r="J94" s="75">
        <f>Bilanca!K103</f>
        <v>2560178</v>
      </c>
      <c r="K94" s="76">
        <f>Bilanca!L103</f>
        <v>1664939</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659192.8600000001</v>
      </c>
      <c r="I95" s="27">
        <f t="shared" si="6"/>
        <v>0</v>
      </c>
      <c r="J95" s="75">
        <f>Bilanca!K104</f>
        <v>294531</v>
      </c>
      <c r="K95" s="76">
        <f>Bilanca!L104</f>
        <v>203369</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6640.619999999999</v>
      </c>
      <c r="I98" s="27">
        <f t="shared" si="6"/>
        <v>0</v>
      </c>
      <c r="J98" s="75">
        <f>Bilanca!K107</f>
        <v>0</v>
      </c>
      <c r="K98" s="76">
        <f>Bilanca!L107</f>
        <v>3423</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4155720.38</v>
      </c>
      <c r="I99" s="27">
        <f aca="true" t="shared" si="9" ref="I99:I107">ABS(ROUND(J99,0)-J99)+ABS(ROUND(K99,0)-K99)</f>
        <v>0</v>
      </c>
      <c r="J99" s="75">
        <f>Bilanca!K108</f>
        <v>1991785</v>
      </c>
      <c r="K99" s="76">
        <f>Bilanca!L108</f>
        <v>1124373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157960.97</v>
      </c>
      <c r="I102" s="27">
        <f t="shared" si="9"/>
        <v>0</v>
      </c>
      <c r="J102" s="75">
        <f>Bilanca!K111</f>
        <v>56539</v>
      </c>
      <c r="K102" s="76">
        <f>Bilanca!L111</f>
        <v>49929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447759.60000000003</v>
      </c>
      <c r="I103" s="27">
        <f t="shared" si="9"/>
        <v>0</v>
      </c>
      <c r="J103" s="75">
        <f>Bilanca!K112</f>
        <v>109826</v>
      </c>
      <c r="K103" s="76">
        <f>Bilanca!L112</f>
        <v>164577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356413.99</v>
      </c>
      <c r="I104" s="27">
        <f t="shared" si="9"/>
        <v>0</v>
      </c>
      <c r="J104" s="75">
        <f>Bilanca!K113</f>
        <v>107497</v>
      </c>
      <c r="K104" s="76">
        <f>Bilanca!L113</f>
        <v>119268</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3367543.68</v>
      </c>
      <c r="I107" s="27">
        <f t="shared" si="9"/>
        <v>0</v>
      </c>
      <c r="J107" s="75">
        <f>Bilanca!K116</f>
        <v>1041952</v>
      </c>
      <c r="K107" s="76">
        <f>Bilanca!L116</f>
        <v>1067488</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12910913.18</v>
      </c>
      <c r="I108" s="27">
        <f aca="true" t="shared" si="11" ref="I108:I113">ABS(ROUND(J108,0)-J108)+ABS(ROUND(K108,0)-K108)</f>
        <v>0</v>
      </c>
      <c r="J108" s="75">
        <f>Bilanca!K117</f>
        <v>4542542</v>
      </c>
      <c r="K108" s="76">
        <f>Bilanca!L117</f>
        <v>3761866</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31584496.110000003</v>
      </c>
      <c r="I112" s="27">
        <f t="shared" si="11"/>
        <v>0</v>
      </c>
      <c r="J112" s="75">
        <f>RDG!K9</f>
        <v>9635831</v>
      </c>
      <c r="K112" s="76">
        <f>RDG!L9</f>
        <v>9409335</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31404266.88</v>
      </c>
      <c r="I113" s="27">
        <f t="shared" si="11"/>
        <v>0</v>
      </c>
      <c r="J113" s="75">
        <f>RDG!K10</f>
        <v>9527894</v>
      </c>
      <c r="K113" s="76">
        <f>RDG!L10</f>
        <v>9255815</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468924.01</v>
      </c>
      <c r="I114" s="27">
        <f aca="true" t="shared" si="13" ref="I114:I158">ABS(ROUND(J114,0)-J114)+ABS(ROUND(K114,0)-K114)</f>
        <v>0</v>
      </c>
      <c r="J114" s="75">
        <f>RDG!K11</f>
        <v>107937</v>
      </c>
      <c r="K114" s="76">
        <f>RDG!L11</f>
        <v>153520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32253470.519999996</v>
      </c>
      <c r="I115" s="27">
        <f t="shared" si="13"/>
        <v>0</v>
      </c>
      <c r="J115" s="75">
        <f>RDG!K12</f>
        <v>9664928</v>
      </c>
      <c r="K115" s="76">
        <f>RDG!L12</f>
        <v>9313795</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27841085.76</v>
      </c>
      <c r="I117" s="27">
        <f t="shared" si="13"/>
        <v>0</v>
      </c>
      <c r="J117" s="75">
        <f>RDG!K14</f>
        <v>8302022</v>
      </c>
      <c r="K117" s="76">
        <f>RDG!L14</f>
        <v>7849457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838626.75</v>
      </c>
      <c r="I118" s="27">
        <f t="shared" si="13"/>
        <v>0</v>
      </c>
      <c r="J118" s="75">
        <f>RDG!K15</f>
        <v>226343</v>
      </c>
      <c r="K118" s="76">
        <f>RDG!L15</f>
        <v>245216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25703285.1</v>
      </c>
      <c r="I119" s="27">
        <f t="shared" si="13"/>
        <v>0</v>
      </c>
      <c r="J119" s="75">
        <f>RDG!K16</f>
        <v>7660973</v>
      </c>
      <c r="K119" s="76">
        <f>RDG!L16</f>
        <v>7060736</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1787042.0400000003</v>
      </c>
      <c r="I120" s="27">
        <f t="shared" si="13"/>
        <v>0</v>
      </c>
      <c r="J120" s="75">
        <f>RDG!K17</f>
        <v>414706</v>
      </c>
      <c r="K120" s="76">
        <f>RDG!L17</f>
        <v>543505</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3607000.8000000003</v>
      </c>
      <c r="I121" s="27">
        <f t="shared" si="13"/>
        <v>0</v>
      </c>
      <c r="J121" s="75">
        <f>RDG!K18</f>
        <v>1114330</v>
      </c>
      <c r="K121" s="76">
        <f>RDG!L18</f>
        <v>945752</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2307934.64</v>
      </c>
      <c r="I122" s="27">
        <f t="shared" si="13"/>
        <v>0</v>
      </c>
      <c r="J122" s="75">
        <f>RDG!K19</f>
        <v>705102</v>
      </c>
      <c r="K122" s="76">
        <f>RDG!L19</f>
        <v>601141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807119.06</v>
      </c>
      <c r="I123" s="27">
        <f t="shared" si="13"/>
        <v>0</v>
      </c>
      <c r="J123" s="75">
        <f>RDG!K20</f>
        <v>249943</v>
      </c>
      <c r="K123" s="76">
        <f>RDG!L20</f>
        <v>205815</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537358.71</v>
      </c>
      <c r="I124" s="27">
        <f t="shared" si="13"/>
        <v>0</v>
      </c>
      <c r="J124" s="75">
        <f>RDG!K21</f>
        <v>159285</v>
      </c>
      <c r="K124" s="76">
        <f>RDG!L21</f>
        <v>138796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443931.1599999999</v>
      </c>
      <c r="I125" s="27">
        <f t="shared" si="13"/>
        <v>0</v>
      </c>
      <c r="J125" s="75">
        <f>RDG!K22</f>
        <v>118437</v>
      </c>
      <c r="K125" s="76">
        <f>RDG!L22</f>
        <v>119786</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574642.5</v>
      </c>
      <c r="I126" s="27">
        <f t="shared" si="13"/>
        <v>0</v>
      </c>
      <c r="J126" s="75">
        <f>RDG!K23</f>
        <v>128108</v>
      </c>
      <c r="K126" s="76">
        <f>RDG!L23</f>
        <v>165803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473361.84</v>
      </c>
      <c r="I127" s="27">
        <f t="shared" si="13"/>
        <v>0</v>
      </c>
      <c r="J127" s="75">
        <f>RDG!K24</f>
        <v>0</v>
      </c>
      <c r="K127" s="76">
        <f>RDG!L24</f>
        <v>187842</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480875.52</v>
      </c>
      <c r="I129" s="27">
        <f t="shared" si="13"/>
        <v>0</v>
      </c>
      <c r="J129" s="75">
        <f>RDG!K26</f>
        <v>0</v>
      </c>
      <c r="K129" s="76">
        <f>RDG!L26</f>
        <v>187842</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86829.90000000001</v>
      </c>
      <c r="I130" s="27">
        <f t="shared" si="13"/>
        <v>0</v>
      </c>
      <c r="J130" s="75">
        <f>RDG!K27</f>
        <v>0</v>
      </c>
      <c r="K130" s="76">
        <f>RDG!L27</f>
        <v>33655</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32540.3</v>
      </c>
      <c r="I131" s="27">
        <f t="shared" si="13"/>
        <v>0</v>
      </c>
      <c r="J131" s="75">
        <f>RDG!K28</f>
        <v>2031</v>
      </c>
      <c r="K131" s="76">
        <f>RDG!L28</f>
        <v>11500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439256.10000000003</v>
      </c>
      <c r="I132" s="27">
        <f t="shared" si="13"/>
        <v>0</v>
      </c>
      <c r="J132" s="75">
        <f>RDG!K29</f>
        <v>116476</v>
      </c>
      <c r="K132" s="76">
        <f>RDG!L29</f>
        <v>109417</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445962.30000000005</v>
      </c>
      <c r="I134" s="27">
        <f t="shared" si="13"/>
        <v>0</v>
      </c>
      <c r="J134" s="75">
        <f>RDG!K31</f>
        <v>116476</v>
      </c>
      <c r="K134" s="76">
        <f>RDG!L31</f>
        <v>109417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251762.16</v>
      </c>
      <c r="I138" s="27">
        <f t="shared" si="13"/>
        <v>0</v>
      </c>
      <c r="J138" s="75">
        <f>RDG!K35</f>
        <v>75576</v>
      </c>
      <c r="K138" s="76">
        <f>RDG!L35</f>
        <v>54096</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255437.52000000002</v>
      </c>
      <c r="I140" s="27">
        <f t="shared" si="13"/>
        <v>0</v>
      </c>
      <c r="J140" s="75">
        <f>RDG!K37</f>
        <v>75576</v>
      </c>
      <c r="K140" s="76">
        <f>RDG!L37</f>
        <v>54096</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42033124.06</v>
      </c>
      <c r="I147" s="27">
        <f t="shared" si="13"/>
        <v>0</v>
      </c>
      <c r="J147" s="75">
        <f>RDG!K44</f>
        <v>9752307</v>
      </c>
      <c r="K147" s="76">
        <f>RDG!L44</f>
        <v>9518752</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41860140.42</v>
      </c>
      <c r="I148" s="27">
        <f t="shared" si="13"/>
        <v>0</v>
      </c>
      <c r="J148" s="75">
        <f>RDG!K45</f>
        <v>9740504</v>
      </c>
      <c r="K148" s="76">
        <f>RDG!L45</f>
        <v>9367891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464017</v>
      </c>
      <c r="I149" s="27">
        <f t="shared" si="13"/>
        <v>0</v>
      </c>
      <c r="J149" s="75">
        <f>RDG!K46</f>
        <v>11803</v>
      </c>
      <c r="K149" s="76">
        <f>RDG!L46</f>
        <v>150861</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467152.25</v>
      </c>
      <c r="I150" s="27">
        <f t="shared" si="13"/>
        <v>0</v>
      </c>
      <c r="J150" s="75">
        <f>RDG!K47</f>
        <v>11803</v>
      </c>
      <c r="K150" s="76">
        <f>RDG!L47</f>
        <v>150861</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180719.82</v>
      </c>
      <c r="I152" s="27">
        <f t="shared" si="13"/>
        <v>0</v>
      </c>
      <c r="J152" s="75">
        <f>RDG!K49</f>
        <v>32</v>
      </c>
      <c r="K152" s="76">
        <f>RDG!L49</f>
        <v>59825</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294641.36</v>
      </c>
      <c r="I153" s="27">
        <f t="shared" si="13"/>
        <v>0</v>
      </c>
      <c r="J153" s="75">
        <f>RDG!K50</f>
        <v>11771</v>
      </c>
      <c r="K153" s="76">
        <f>RDG!L50</f>
        <v>91036</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296579.79000000004</v>
      </c>
      <c r="I154" s="27">
        <f t="shared" si="13"/>
        <v>0</v>
      </c>
      <c r="J154" s="75">
        <f>RDG!K51</f>
        <v>11771</v>
      </c>
      <c r="K154" s="76">
        <f>RDG!L51</f>
        <v>91036</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02341603; ZELENJAK PLIN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73"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INFO@ZELENJAK-PLIN.HR</v>
      </c>
      <c r="N59" s="201" t="str">
        <f>UPPER(TRIM(Opci!C69))</f>
        <v>TIHOMIR.KUSANIC@ZELENJAK-PLIN.HR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C:\Users\Tihomir\Documents\završni 2015\JAVNA OBJAVA\[GFI-POD 2015..xls]Opci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9.523809523809524</v>
      </c>
      <c r="R92">
        <f>IF(Opci!C55+Opci!E55,ABS(Opci!C55-Opci!E55)/(Opci!C55+Opci!E55)*200,0)</f>
        <v>9.523809523809524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ZELENJAK PLIN d.o.o.</v>
      </c>
      <c r="B21" s="250"/>
      <c r="C21" s="250"/>
      <c r="D21" s="250"/>
      <c r="E21" s="250"/>
      <c r="F21" s="250"/>
      <c r="G21" s="250"/>
      <c r="H21" s="251"/>
      <c r="I21" s="252"/>
      <c r="J21" s="253"/>
    </row>
    <row r="22" spans="1:10" ht="13.5" customHeight="1">
      <c r="A22" s="255" t="str">
        <f>IF(Opci!C29&lt;&gt;"",MID(Opci!C29,1,30),"")</f>
        <v>TRG ANTUNA MIHANOVIĆA 1</v>
      </c>
      <c r="B22" s="249"/>
      <c r="C22" s="249"/>
      <c r="D22" s="249"/>
      <c r="E22" s="249"/>
      <c r="F22" s="249"/>
      <c r="G22" s="249"/>
      <c r="H22" s="80"/>
      <c r="I22" s="247"/>
      <c r="J22" s="246"/>
    </row>
    <row r="23" spans="1:10" ht="13.5" customHeight="1">
      <c r="A23" s="255" t="str">
        <f>IF(AND(Opci!C27&lt;&gt;"",Opci!F27&lt;&gt;""),MID(Opci!C27&amp;" "&amp;Opci!F27,1,30),"")</f>
        <v>49290 KLANJEC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2 1 5 0 7 0 2 1 0 4 8</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2015.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6" activePane="bottomLeft" state="frozen"/>
      <selection pane="topLeft" activeCell="A1" sqref="A1"/>
      <selection pane="bottomLeft" activeCell="H55" sqref="H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234160.3</v>
      </c>
      <c r="T2" s="192">
        <f>INT(VALUE(C21))/50</f>
        <v>1612898.34</v>
      </c>
      <c r="U2" s="192">
        <f>INT(VALUE(C23))/100</f>
        <v>215070210.48</v>
      </c>
      <c r="V2" s="192">
        <f>LEN(Skriveni!B9)</f>
        <v>20</v>
      </c>
      <c r="W2" s="192">
        <f>INT(VALUE(C27))/100</f>
        <v>492.9</v>
      </c>
      <c r="X2" s="192">
        <f>LEN(Skriveni!B11)</f>
        <v>7</v>
      </c>
      <c r="Y2" s="192">
        <f>LEN(Skriveni!B12)</f>
        <v>23</v>
      </c>
      <c r="Z2" s="192">
        <f>INT(VALUE(C35))</f>
        <v>187</v>
      </c>
      <c r="AA2" s="192">
        <f>INT(VALUE(C39))</f>
        <v>3522</v>
      </c>
      <c r="AB2" s="192">
        <f>IF(C41="DA",1,0)</f>
        <v>0</v>
      </c>
      <c r="AC2" s="192">
        <f>IF(C43="DA",1,0)</f>
        <v>0</v>
      </c>
      <c r="AD2" s="192">
        <f>INT(VALUE(C45))</f>
        <v>2</v>
      </c>
      <c r="AE2" s="192">
        <f>INT(VALUE(C47))</f>
        <v>1</v>
      </c>
      <c r="AF2" s="192">
        <f>INT(VALUE(C49))</f>
        <v>11</v>
      </c>
      <c r="AG2" s="192">
        <f>C51*2+E51</f>
        <v>200</v>
      </c>
      <c r="AH2" s="192">
        <f>C53+2*E53+3*C55+4*E55</f>
        <v>104</v>
      </c>
      <c r="AI2" s="192">
        <f>C57*2+E57</f>
        <v>36</v>
      </c>
      <c r="AJ2" s="192">
        <f>LEN(Skriveni!B43)</f>
        <v>11</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42005</v>
      </c>
      <c r="F5" s="402"/>
      <c r="G5" s="146" t="s">
        <v>2278</v>
      </c>
      <c r="H5" s="401">
        <v>42369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2015</v>
      </c>
      <c r="H14" s="450" t="s">
        <v>1010</v>
      </c>
      <c r="I14" s="451"/>
      <c r="J14" s="451"/>
      <c r="K14" s="97"/>
      <c r="L14" s="162"/>
      <c r="M14" s="162"/>
      <c r="N14" s="162"/>
    </row>
    <row r="15" spans="1:14" ht="19.5" customHeight="1">
      <c r="A15" s="452">
        <f>SUM(Skriveni!H2:H392)+SUM(P2:AK2)+SUM(Skriveni!AC2:AC101)</f>
        <v>514313685.88000005</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49290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2985</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2979</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187</v>
      </c>
      <c r="D35" s="417" t="str">
        <f>IF(C35&lt;&gt;"",LOOKUP(C35,P29:P584,Q29:Q584),"Nije upisana općina!")</f>
        <v>Klanjec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2</v>
      </c>
      <c r="D37" s="417" t="str">
        <f>IF(C37&lt;&gt;"",LOOKUP(C37,T29:T49,U29:U49),"")</f>
        <v>KRAPINSKO-ZAGORSKA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2602</v>
      </c>
      <c r="D39" s="422" t="str">
        <f>IF(C39&lt;&gt;"",LOOKUP(C39,Djel!A5:A621,Djel!B5:B621),"Djelatnost nije upisana!")</f>
        <v>Distribucija plinovitih goriva distribucijskom mrežom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2986</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11</v>
      </c>
      <c r="D53" s="171"/>
      <c r="E53" s="190">
        <v>10</v>
      </c>
      <c r="F53" s="171"/>
      <c r="G53" s="97"/>
      <c r="H53" s="124" t="s">
        <v>2986</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11</v>
      </c>
      <c r="D55" s="171"/>
      <c r="E55" s="191">
        <v>10</v>
      </c>
      <c r="F55" s="171"/>
      <c r="G55" s="97"/>
      <c r="H55" s="124" t="s">
        <v>2986</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t="s">
        <v>2982</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2983</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2984</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14" activePane="bottomLeft" state="frozen"/>
      <selection pane="topLeft" activeCell="A1" sqref="A1"/>
      <selection pane="bottomLeft" activeCell="L108" sqref="L10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31.12.2015.</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21507021048; ZELENJAK PLIN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1524520</v>
      </c>
      <c r="L11" s="59">
        <f>L12+L19+L29+L38+L42</f>
        <v>1585128</v>
      </c>
    </row>
    <row r="12" spans="1:12" ht="13.5" customHeight="1">
      <c r="A12" s="483" t="s">
        <v>753</v>
      </c>
      <c r="B12" s="484"/>
      <c r="C12" s="484"/>
      <c r="D12" s="484"/>
      <c r="E12" s="484"/>
      <c r="F12" s="484"/>
      <c r="G12" s="484"/>
      <c r="H12" s="485"/>
      <c r="I12" s="4">
        <v>3</v>
      </c>
      <c r="J12" s="8"/>
      <c r="K12" s="59">
        <f>SUM(K13:K18)</f>
        <v>0</v>
      </c>
      <c r="L12" s="59">
        <f>SUM(L13:L18)</f>
        <v>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1524520</v>
      </c>
      <c r="L19" s="59">
        <f>SUM(L20:L28)</f>
        <v>1585128</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v>1402059</v>
      </c>
      <c r="L21" s="60">
        <v>1448737</v>
      </c>
    </row>
    <row r="22" spans="1:12" ht="13.5" customHeight="1">
      <c r="A22" s="477" t="s">
        <v>1437</v>
      </c>
      <c r="B22" s="478"/>
      <c r="C22" s="478"/>
      <c r="D22" s="478"/>
      <c r="E22" s="478"/>
      <c r="F22" s="478"/>
      <c r="G22" s="478"/>
      <c r="H22" s="479"/>
      <c r="I22" s="4">
        <v>13</v>
      </c>
      <c r="J22" s="8"/>
      <c r="K22" s="60"/>
      <c r="L22" s="60"/>
    </row>
    <row r="23" spans="1:12" ht="13.5" customHeight="1">
      <c r="A23" s="477" t="s">
        <v>1273</v>
      </c>
      <c r="B23" s="478"/>
      <c r="C23" s="478"/>
      <c r="D23" s="478"/>
      <c r="E23" s="478"/>
      <c r="F23" s="478"/>
      <c r="G23" s="478"/>
      <c r="H23" s="479"/>
      <c r="I23" s="4">
        <v>14</v>
      </c>
      <c r="J23" s="8"/>
      <c r="K23" s="60">
        <v>122461</v>
      </c>
      <c r="L23" s="60">
        <v>136391</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3018022</v>
      </c>
      <c r="L43" s="59">
        <f>L44+L52+L59+L67</f>
        <v>2176738</v>
      </c>
    </row>
    <row r="44" spans="1:12" ht="13.5" customHeight="1">
      <c r="A44" s="483" t="s">
        <v>319</v>
      </c>
      <c r="B44" s="484"/>
      <c r="C44" s="484"/>
      <c r="D44" s="484"/>
      <c r="E44" s="484"/>
      <c r="F44" s="484"/>
      <c r="G44" s="484"/>
      <c r="H44" s="485"/>
      <c r="I44" s="4">
        <v>35</v>
      </c>
      <c r="J44" s="8"/>
      <c r="K44" s="59">
        <f>SUM(K45:K51)</f>
        <v>80323</v>
      </c>
      <c r="L44" s="59">
        <f>SUM(L45:L51)</f>
        <v>72233</v>
      </c>
    </row>
    <row r="45" spans="1:12" ht="13.5" customHeight="1">
      <c r="A45" s="477" t="s">
        <v>1485</v>
      </c>
      <c r="B45" s="478"/>
      <c r="C45" s="478"/>
      <c r="D45" s="478"/>
      <c r="E45" s="478"/>
      <c r="F45" s="478"/>
      <c r="G45" s="478"/>
      <c r="H45" s="479"/>
      <c r="I45" s="4">
        <v>36</v>
      </c>
      <c r="J45" s="8"/>
      <c r="K45" s="60">
        <v>80323</v>
      </c>
      <c r="L45" s="60">
        <v>72233</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2780255</v>
      </c>
      <c r="L52" s="59">
        <f>SUM(L53:L58)</f>
        <v>1880411</v>
      </c>
    </row>
    <row r="53" spans="1:12" ht="13.5" customHeight="1">
      <c r="A53" s="477" t="s">
        <v>2639</v>
      </c>
      <c r="B53" s="478"/>
      <c r="C53" s="478"/>
      <c r="D53" s="478"/>
      <c r="E53" s="478"/>
      <c r="F53" s="478"/>
      <c r="G53" s="478"/>
      <c r="H53" s="479"/>
      <c r="I53" s="4">
        <v>44</v>
      </c>
      <c r="J53" s="8"/>
      <c r="K53" s="60">
        <v>6789</v>
      </c>
      <c r="L53" s="60"/>
    </row>
    <row r="54" spans="1:12" ht="13.5" customHeight="1">
      <c r="A54" s="477" t="s">
        <v>2640</v>
      </c>
      <c r="B54" s="478"/>
      <c r="C54" s="478"/>
      <c r="D54" s="478"/>
      <c r="E54" s="478"/>
      <c r="F54" s="478"/>
      <c r="G54" s="478"/>
      <c r="H54" s="479"/>
      <c r="I54" s="4">
        <v>45</v>
      </c>
      <c r="J54" s="8"/>
      <c r="K54" s="60">
        <v>2765949</v>
      </c>
      <c r="L54" s="60">
        <v>1880393</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7517</v>
      </c>
      <c r="L57" s="60">
        <v>18</v>
      </c>
    </row>
    <row r="58" spans="1:12" ht="13.5" customHeight="1">
      <c r="A58" s="477" t="s">
        <v>664</v>
      </c>
      <c r="B58" s="478"/>
      <c r="C58" s="478"/>
      <c r="D58" s="478"/>
      <c r="E58" s="478"/>
      <c r="F58" s="478"/>
      <c r="G58" s="478"/>
      <c r="H58" s="479"/>
      <c r="I58" s="4">
        <v>49</v>
      </c>
      <c r="J58" s="8"/>
      <c r="K58" s="60"/>
      <c r="L58" s="60"/>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157444</v>
      </c>
      <c r="L67" s="60">
        <v>224094</v>
      </c>
    </row>
    <row r="68" spans="1:12" ht="13.5" customHeight="1">
      <c r="A68" s="499" t="s">
        <v>2848</v>
      </c>
      <c r="B68" s="500"/>
      <c r="C68" s="500"/>
      <c r="D68" s="500"/>
      <c r="E68" s="500"/>
      <c r="F68" s="500"/>
      <c r="G68" s="500"/>
      <c r="H68" s="501"/>
      <c r="I68" s="4">
        <v>59</v>
      </c>
      <c r="J68" s="8"/>
      <c r="K68" s="60"/>
      <c r="L68" s="60"/>
    </row>
    <row r="69" spans="1:12" ht="13.5" customHeight="1">
      <c r="A69" s="499" t="s">
        <v>2298</v>
      </c>
      <c r="B69" s="500"/>
      <c r="C69" s="500"/>
      <c r="D69" s="500"/>
      <c r="E69" s="500"/>
      <c r="F69" s="500"/>
      <c r="G69" s="500"/>
      <c r="H69" s="501"/>
      <c r="I69" s="4">
        <v>60</v>
      </c>
      <c r="J69" s="8"/>
      <c r="K69" s="59">
        <f>K10+K11+K43+K68</f>
        <v>4542542</v>
      </c>
      <c r="L69" s="59">
        <f>L10+L11+L43+L68</f>
        <v>3761866</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898730</v>
      </c>
      <c r="L72" s="79">
        <f>L73+L74+L75+L81+L82+L85+L88</f>
        <v>977995</v>
      </c>
    </row>
    <row r="73" spans="1:12" ht="13.5" customHeight="1">
      <c r="A73" s="483" t="s">
        <v>2741</v>
      </c>
      <c r="B73" s="484"/>
      <c r="C73" s="484"/>
      <c r="D73" s="484"/>
      <c r="E73" s="484"/>
      <c r="F73" s="484"/>
      <c r="G73" s="484"/>
      <c r="H73" s="485"/>
      <c r="I73" s="4">
        <v>63</v>
      </c>
      <c r="J73" s="8"/>
      <c r="K73" s="60">
        <v>80000</v>
      </c>
      <c r="L73" s="60">
        <v>80000</v>
      </c>
    </row>
    <row r="74" spans="1:12" ht="13.5" customHeight="1">
      <c r="A74" s="483" t="s">
        <v>2742</v>
      </c>
      <c r="B74" s="484"/>
      <c r="C74" s="484"/>
      <c r="D74" s="484"/>
      <c r="E74" s="484"/>
      <c r="F74" s="484"/>
      <c r="G74" s="484"/>
      <c r="H74" s="485"/>
      <c r="I74" s="4">
        <v>64</v>
      </c>
      <c r="J74" s="8"/>
      <c r="K74" s="60">
        <v>608473</v>
      </c>
      <c r="L74" s="60">
        <v>608473</v>
      </c>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198486</v>
      </c>
      <c r="L82" s="59">
        <f>L83-L84</f>
        <v>198486</v>
      </c>
    </row>
    <row r="83" spans="1:12" ht="13.5" customHeight="1">
      <c r="A83" s="486" t="s">
        <v>2824</v>
      </c>
      <c r="B83" s="487"/>
      <c r="C83" s="487"/>
      <c r="D83" s="487"/>
      <c r="E83" s="487"/>
      <c r="F83" s="487"/>
      <c r="G83" s="487"/>
      <c r="H83" s="488"/>
      <c r="I83" s="4">
        <v>73</v>
      </c>
      <c r="J83" s="8"/>
      <c r="K83" s="60">
        <v>198486</v>
      </c>
      <c r="L83" s="60">
        <v>198486</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11771</v>
      </c>
      <c r="L85" s="59">
        <f>L86-L87</f>
        <v>91036</v>
      </c>
    </row>
    <row r="86" spans="1:12" ht="13.5" customHeight="1">
      <c r="A86" s="486" t="s">
        <v>2826</v>
      </c>
      <c r="B86" s="487"/>
      <c r="C86" s="487"/>
      <c r="D86" s="487"/>
      <c r="E86" s="487"/>
      <c r="F86" s="487"/>
      <c r="G86" s="487"/>
      <c r="H86" s="488"/>
      <c r="I86" s="4">
        <v>76</v>
      </c>
      <c r="J86" s="8"/>
      <c r="K86" s="60">
        <v>11771</v>
      </c>
      <c r="L86" s="60">
        <v>91036</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33655</v>
      </c>
    </row>
    <row r="90" spans="1:12" ht="13.5" customHeight="1">
      <c r="A90" s="477" t="s">
        <v>2699</v>
      </c>
      <c r="B90" s="478"/>
      <c r="C90" s="478"/>
      <c r="D90" s="478"/>
      <c r="E90" s="478"/>
      <c r="F90" s="478"/>
      <c r="G90" s="478"/>
      <c r="H90" s="479"/>
      <c r="I90" s="4">
        <v>80</v>
      </c>
      <c r="J90" s="8"/>
      <c r="K90" s="60"/>
      <c r="L90" s="60">
        <v>33655</v>
      </c>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41682</v>
      </c>
      <c r="L93" s="59">
        <f>SUM(L94:L102)</f>
        <v>17789</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v>41682</v>
      </c>
      <c r="L95" s="60">
        <v>17789</v>
      </c>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2560178</v>
      </c>
      <c r="L103" s="59">
        <f>SUM(L104:L115)</f>
        <v>1664939</v>
      </c>
    </row>
    <row r="104" spans="1:12" ht="13.5" customHeight="1">
      <c r="A104" s="477" t="s">
        <v>2702</v>
      </c>
      <c r="B104" s="478"/>
      <c r="C104" s="478"/>
      <c r="D104" s="478"/>
      <c r="E104" s="478"/>
      <c r="F104" s="478"/>
      <c r="G104" s="478"/>
      <c r="H104" s="479"/>
      <c r="I104" s="4">
        <v>94</v>
      </c>
      <c r="J104" s="8"/>
      <c r="K104" s="60">
        <v>294531</v>
      </c>
      <c r="L104" s="60">
        <v>203369</v>
      </c>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v>3423</v>
      </c>
    </row>
    <row r="108" spans="1:12" ht="13.5" customHeight="1">
      <c r="A108" s="477" t="s">
        <v>180</v>
      </c>
      <c r="B108" s="478"/>
      <c r="C108" s="478"/>
      <c r="D108" s="478"/>
      <c r="E108" s="478"/>
      <c r="F108" s="478"/>
      <c r="G108" s="478"/>
      <c r="H108" s="479"/>
      <c r="I108" s="4">
        <v>98</v>
      </c>
      <c r="J108" s="8"/>
      <c r="K108" s="60">
        <v>1991785</v>
      </c>
      <c r="L108" s="60">
        <v>1124373</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56539</v>
      </c>
      <c r="L111" s="60">
        <v>49929</v>
      </c>
    </row>
    <row r="112" spans="1:12" ht="13.5" customHeight="1">
      <c r="A112" s="477" t="s">
        <v>314</v>
      </c>
      <c r="B112" s="478"/>
      <c r="C112" s="478"/>
      <c r="D112" s="478"/>
      <c r="E112" s="478"/>
      <c r="F112" s="478"/>
      <c r="G112" s="478"/>
      <c r="H112" s="479"/>
      <c r="I112" s="4">
        <v>102</v>
      </c>
      <c r="J112" s="8"/>
      <c r="K112" s="60">
        <v>109826</v>
      </c>
      <c r="L112" s="60">
        <v>164577</v>
      </c>
    </row>
    <row r="113" spans="1:12" ht="13.5" customHeight="1">
      <c r="A113" s="477" t="s">
        <v>317</v>
      </c>
      <c r="B113" s="478"/>
      <c r="C113" s="478"/>
      <c r="D113" s="478"/>
      <c r="E113" s="478"/>
      <c r="F113" s="478"/>
      <c r="G113" s="478"/>
      <c r="H113" s="479"/>
      <c r="I113" s="4">
        <v>103</v>
      </c>
      <c r="J113" s="8"/>
      <c r="K113" s="60">
        <v>107497</v>
      </c>
      <c r="L113" s="60">
        <v>119268</v>
      </c>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c r="K116" s="60">
        <v>1041952</v>
      </c>
      <c r="L116" s="60">
        <v>1067488</v>
      </c>
    </row>
    <row r="117" spans="1:12" ht="13.5" customHeight="1">
      <c r="A117" s="499" t="s">
        <v>1271</v>
      </c>
      <c r="B117" s="500"/>
      <c r="C117" s="500"/>
      <c r="D117" s="500"/>
      <c r="E117" s="500"/>
      <c r="F117" s="500"/>
      <c r="G117" s="500"/>
      <c r="H117" s="501"/>
      <c r="I117" s="4">
        <v>107</v>
      </c>
      <c r="J117" s="8"/>
      <c r="K117" s="59">
        <f>K72+K89+K93+K103+K116</f>
        <v>4542542</v>
      </c>
      <c r="L117" s="59">
        <f>L72+L89+L93+L103+L116</f>
        <v>3761866</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2" activePane="bottomLeft" state="frozen"/>
      <selection pane="topLeft" activeCell="A1" sqref="A1"/>
      <selection pane="bottomLeft" activeCell="L51" sqref="L5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01.01.2015. do 31.12.2015.</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21507021048; ZELENJAK PLIN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9635831</v>
      </c>
      <c r="L9" s="79">
        <f>SUM(L10:L11)</f>
        <v>9409335</v>
      </c>
    </row>
    <row r="10" spans="1:12" s="3" customFormat="1" ht="13.5" customHeight="1">
      <c r="A10" s="499" t="s">
        <v>1722</v>
      </c>
      <c r="B10" s="500"/>
      <c r="C10" s="500"/>
      <c r="D10" s="500"/>
      <c r="E10" s="500"/>
      <c r="F10" s="500"/>
      <c r="G10" s="500"/>
      <c r="H10" s="501"/>
      <c r="I10" s="4">
        <v>112</v>
      </c>
      <c r="J10" s="8"/>
      <c r="K10" s="60">
        <v>9527894</v>
      </c>
      <c r="L10" s="60">
        <v>9255815</v>
      </c>
    </row>
    <row r="11" spans="1:12" s="3" customFormat="1" ht="13.5" customHeight="1">
      <c r="A11" s="499" t="s">
        <v>322</v>
      </c>
      <c r="B11" s="500"/>
      <c r="C11" s="500"/>
      <c r="D11" s="500"/>
      <c r="E11" s="500"/>
      <c r="F11" s="500"/>
      <c r="G11" s="500"/>
      <c r="H11" s="501"/>
      <c r="I11" s="4">
        <v>113</v>
      </c>
      <c r="J11" s="8"/>
      <c r="K11" s="60">
        <v>107937</v>
      </c>
      <c r="L11" s="60">
        <v>153520</v>
      </c>
    </row>
    <row r="12" spans="1:12" s="3" customFormat="1" ht="13.5" customHeight="1">
      <c r="A12" s="499" t="s">
        <v>669</v>
      </c>
      <c r="B12" s="500"/>
      <c r="C12" s="500"/>
      <c r="D12" s="500"/>
      <c r="E12" s="500"/>
      <c r="F12" s="500"/>
      <c r="G12" s="500"/>
      <c r="H12" s="501"/>
      <c r="I12" s="4">
        <v>114</v>
      </c>
      <c r="J12" s="8"/>
      <c r="K12" s="59">
        <f>K13+K14+K18+K22+K23+K24+K27+K28</f>
        <v>9664928</v>
      </c>
      <c r="L12" s="59">
        <f>L13+L14+L18+L22+L23+L24+L27+L28</f>
        <v>9313795</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8302022</v>
      </c>
      <c r="L14" s="59">
        <f>SUM(L15:L17)</f>
        <v>7849457</v>
      </c>
    </row>
    <row r="15" spans="1:12" s="3" customFormat="1" ht="13.5" customHeight="1">
      <c r="A15" s="477" t="s">
        <v>2463</v>
      </c>
      <c r="B15" s="478"/>
      <c r="C15" s="478"/>
      <c r="D15" s="478"/>
      <c r="E15" s="478"/>
      <c r="F15" s="478"/>
      <c r="G15" s="478"/>
      <c r="H15" s="479"/>
      <c r="I15" s="4">
        <v>117</v>
      </c>
      <c r="J15" s="8"/>
      <c r="K15" s="60">
        <v>226343</v>
      </c>
      <c r="L15" s="60">
        <v>245216</v>
      </c>
    </row>
    <row r="16" spans="1:12" s="3" customFormat="1" ht="13.5" customHeight="1">
      <c r="A16" s="477" t="s">
        <v>2464</v>
      </c>
      <c r="B16" s="478"/>
      <c r="C16" s="478"/>
      <c r="D16" s="478"/>
      <c r="E16" s="478"/>
      <c r="F16" s="478"/>
      <c r="G16" s="478"/>
      <c r="H16" s="479"/>
      <c r="I16" s="4">
        <v>118</v>
      </c>
      <c r="J16" s="8"/>
      <c r="K16" s="60">
        <v>7660973</v>
      </c>
      <c r="L16" s="60">
        <v>7060736</v>
      </c>
    </row>
    <row r="17" spans="1:12" s="3" customFormat="1" ht="13.5" customHeight="1">
      <c r="A17" s="477" t="s">
        <v>2663</v>
      </c>
      <c r="B17" s="478"/>
      <c r="C17" s="478"/>
      <c r="D17" s="478"/>
      <c r="E17" s="478"/>
      <c r="F17" s="478"/>
      <c r="G17" s="478"/>
      <c r="H17" s="479"/>
      <c r="I17" s="4">
        <v>119</v>
      </c>
      <c r="J17" s="8"/>
      <c r="K17" s="60">
        <v>414706</v>
      </c>
      <c r="L17" s="60">
        <v>543505</v>
      </c>
    </row>
    <row r="18" spans="1:12" s="3" customFormat="1" ht="13.5" customHeight="1">
      <c r="A18" s="499" t="s">
        <v>1269</v>
      </c>
      <c r="B18" s="500"/>
      <c r="C18" s="500"/>
      <c r="D18" s="500"/>
      <c r="E18" s="500"/>
      <c r="F18" s="500"/>
      <c r="G18" s="500"/>
      <c r="H18" s="501"/>
      <c r="I18" s="4">
        <v>120</v>
      </c>
      <c r="J18" s="8"/>
      <c r="K18" s="59">
        <f>SUM(K19:K21)</f>
        <v>1114330</v>
      </c>
      <c r="L18" s="59">
        <f>SUM(L19:L21)</f>
        <v>945752</v>
      </c>
    </row>
    <row r="19" spans="1:12" s="3" customFormat="1" ht="13.5" customHeight="1">
      <c r="A19" s="477" t="s">
        <v>2664</v>
      </c>
      <c r="B19" s="478"/>
      <c r="C19" s="478"/>
      <c r="D19" s="478"/>
      <c r="E19" s="478"/>
      <c r="F19" s="478"/>
      <c r="G19" s="478"/>
      <c r="H19" s="479"/>
      <c r="I19" s="4">
        <v>121</v>
      </c>
      <c r="J19" s="8"/>
      <c r="K19" s="60">
        <v>705102</v>
      </c>
      <c r="L19" s="60">
        <v>601141</v>
      </c>
    </row>
    <row r="20" spans="1:12" s="3" customFormat="1" ht="13.5" customHeight="1">
      <c r="A20" s="477" t="s">
        <v>2665</v>
      </c>
      <c r="B20" s="478"/>
      <c r="C20" s="478"/>
      <c r="D20" s="478"/>
      <c r="E20" s="478"/>
      <c r="F20" s="478"/>
      <c r="G20" s="478"/>
      <c r="H20" s="479"/>
      <c r="I20" s="4">
        <v>122</v>
      </c>
      <c r="J20" s="8"/>
      <c r="K20" s="60">
        <v>249943</v>
      </c>
      <c r="L20" s="60">
        <v>205815</v>
      </c>
    </row>
    <row r="21" spans="1:12" s="3" customFormat="1" ht="13.5" customHeight="1">
      <c r="A21" s="477" t="s">
        <v>2666</v>
      </c>
      <c r="B21" s="478"/>
      <c r="C21" s="478"/>
      <c r="D21" s="478"/>
      <c r="E21" s="478"/>
      <c r="F21" s="478"/>
      <c r="G21" s="478"/>
      <c r="H21" s="479"/>
      <c r="I21" s="4">
        <v>123</v>
      </c>
      <c r="J21" s="8"/>
      <c r="K21" s="60">
        <v>159285</v>
      </c>
      <c r="L21" s="60">
        <v>138796</v>
      </c>
    </row>
    <row r="22" spans="1:12" s="3" customFormat="1" ht="13.5" customHeight="1">
      <c r="A22" s="499" t="s">
        <v>324</v>
      </c>
      <c r="B22" s="500"/>
      <c r="C22" s="500"/>
      <c r="D22" s="500"/>
      <c r="E22" s="500"/>
      <c r="F22" s="500"/>
      <c r="G22" s="500"/>
      <c r="H22" s="501"/>
      <c r="I22" s="4">
        <v>124</v>
      </c>
      <c r="J22" s="8"/>
      <c r="K22" s="60">
        <v>118437</v>
      </c>
      <c r="L22" s="60">
        <v>119786</v>
      </c>
    </row>
    <row r="23" spans="1:12" s="3" customFormat="1" ht="13.5" customHeight="1">
      <c r="A23" s="499" t="s">
        <v>325</v>
      </c>
      <c r="B23" s="500"/>
      <c r="C23" s="500"/>
      <c r="D23" s="500"/>
      <c r="E23" s="500"/>
      <c r="F23" s="500"/>
      <c r="G23" s="500"/>
      <c r="H23" s="501"/>
      <c r="I23" s="4">
        <v>125</v>
      </c>
      <c r="J23" s="8"/>
      <c r="K23" s="60">
        <v>128108</v>
      </c>
      <c r="L23" s="60">
        <v>165803</v>
      </c>
    </row>
    <row r="24" spans="1:12" s="3" customFormat="1" ht="13.5" customHeight="1">
      <c r="A24" s="499" t="s">
        <v>1270</v>
      </c>
      <c r="B24" s="500"/>
      <c r="C24" s="500"/>
      <c r="D24" s="500"/>
      <c r="E24" s="500"/>
      <c r="F24" s="500"/>
      <c r="G24" s="500"/>
      <c r="H24" s="501"/>
      <c r="I24" s="4">
        <v>126</v>
      </c>
      <c r="J24" s="8"/>
      <c r="K24" s="59">
        <f>SUM(K25:K26)</f>
        <v>0</v>
      </c>
      <c r="L24" s="59">
        <f>SUM(L25:L26)</f>
        <v>187842</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v>187842</v>
      </c>
    </row>
    <row r="27" spans="1:12" s="3" customFormat="1" ht="13.5" customHeight="1">
      <c r="A27" s="499" t="s">
        <v>326</v>
      </c>
      <c r="B27" s="500"/>
      <c r="C27" s="500"/>
      <c r="D27" s="500"/>
      <c r="E27" s="500"/>
      <c r="F27" s="500"/>
      <c r="G27" s="500"/>
      <c r="H27" s="501"/>
      <c r="I27" s="4">
        <v>129</v>
      </c>
      <c r="J27" s="8"/>
      <c r="K27" s="60"/>
      <c r="L27" s="60">
        <v>33655</v>
      </c>
    </row>
    <row r="28" spans="1:12" s="3" customFormat="1" ht="13.5" customHeight="1">
      <c r="A28" s="499" t="s">
        <v>1079</v>
      </c>
      <c r="B28" s="500"/>
      <c r="C28" s="500"/>
      <c r="D28" s="500"/>
      <c r="E28" s="500"/>
      <c r="F28" s="500"/>
      <c r="G28" s="500"/>
      <c r="H28" s="501"/>
      <c r="I28" s="4">
        <v>130</v>
      </c>
      <c r="J28" s="8"/>
      <c r="K28" s="60">
        <v>2031</v>
      </c>
      <c r="L28" s="60">
        <v>11500</v>
      </c>
    </row>
    <row r="29" spans="1:12" s="3" customFormat="1" ht="13.5" customHeight="1">
      <c r="A29" s="499" t="s">
        <v>53</v>
      </c>
      <c r="B29" s="500"/>
      <c r="C29" s="500"/>
      <c r="D29" s="500"/>
      <c r="E29" s="500"/>
      <c r="F29" s="500"/>
      <c r="G29" s="500"/>
      <c r="H29" s="501"/>
      <c r="I29" s="4">
        <v>131</v>
      </c>
      <c r="J29" s="8"/>
      <c r="K29" s="59">
        <f>SUM(K30:K34)</f>
        <v>116476</v>
      </c>
      <c r="L29" s="59">
        <f>SUM(L30:L34)</f>
        <v>109417</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116476</v>
      </c>
      <c r="L31" s="60">
        <v>109417</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75576</v>
      </c>
      <c r="L35" s="59">
        <f>SUM(L36:L39)</f>
        <v>54096</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75576</v>
      </c>
      <c r="L37" s="60">
        <v>54096</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9752307</v>
      </c>
      <c r="L44" s="59">
        <f>L9+L29+L40+L42</f>
        <v>9518752</v>
      </c>
    </row>
    <row r="45" spans="1:12" s="3" customFormat="1" ht="13.5" customHeight="1">
      <c r="A45" s="499" t="s">
        <v>56</v>
      </c>
      <c r="B45" s="500"/>
      <c r="C45" s="500"/>
      <c r="D45" s="500"/>
      <c r="E45" s="500"/>
      <c r="F45" s="500"/>
      <c r="G45" s="500"/>
      <c r="H45" s="501"/>
      <c r="I45" s="4">
        <v>147</v>
      </c>
      <c r="J45" s="8"/>
      <c r="K45" s="59">
        <f>K12+K35+K41+K43</f>
        <v>9740504</v>
      </c>
      <c r="L45" s="59">
        <f>L12+L35+L41+L43</f>
        <v>9367891</v>
      </c>
    </row>
    <row r="46" spans="1:12" s="3" customFormat="1" ht="13.5" customHeight="1">
      <c r="A46" s="499" t="s">
        <v>1825</v>
      </c>
      <c r="B46" s="500"/>
      <c r="C46" s="500"/>
      <c r="D46" s="500"/>
      <c r="E46" s="500"/>
      <c r="F46" s="500"/>
      <c r="G46" s="500"/>
      <c r="H46" s="501"/>
      <c r="I46" s="4">
        <v>148</v>
      </c>
      <c r="J46" s="8"/>
      <c r="K46" s="59">
        <f>K44-K45</f>
        <v>11803</v>
      </c>
      <c r="L46" s="59">
        <f>L44-L45</f>
        <v>150861</v>
      </c>
    </row>
    <row r="47" spans="1:12" s="3" customFormat="1" ht="13.5" customHeight="1">
      <c r="A47" s="486" t="s">
        <v>58</v>
      </c>
      <c r="B47" s="487"/>
      <c r="C47" s="487"/>
      <c r="D47" s="487"/>
      <c r="E47" s="487"/>
      <c r="F47" s="487"/>
      <c r="G47" s="487"/>
      <c r="H47" s="488"/>
      <c r="I47" s="4">
        <v>149</v>
      </c>
      <c r="J47" s="8"/>
      <c r="K47" s="59">
        <f>IF(K44&gt;K45,K44-K45,0)</f>
        <v>11803</v>
      </c>
      <c r="L47" s="59">
        <f>IF(L44&gt;L45,L44-L45,0)</f>
        <v>150861</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32</v>
      </c>
      <c r="L49" s="60">
        <v>59825</v>
      </c>
    </row>
    <row r="50" spans="1:12" s="3" customFormat="1" ht="13.5" customHeight="1">
      <c r="A50" s="499" t="s">
        <v>1826</v>
      </c>
      <c r="B50" s="500"/>
      <c r="C50" s="500"/>
      <c r="D50" s="500"/>
      <c r="E50" s="500"/>
      <c r="F50" s="500"/>
      <c r="G50" s="500"/>
      <c r="H50" s="501"/>
      <c r="I50" s="4">
        <v>152</v>
      </c>
      <c r="J50" s="8"/>
      <c r="K50" s="59">
        <f>K46-K49</f>
        <v>11771</v>
      </c>
      <c r="L50" s="59">
        <f>L46-L49</f>
        <v>91036</v>
      </c>
    </row>
    <row r="51" spans="1:12" s="3" customFormat="1" ht="13.5" customHeight="1">
      <c r="A51" s="486" t="s">
        <v>1021</v>
      </c>
      <c r="B51" s="487"/>
      <c r="C51" s="487"/>
      <c r="D51" s="487"/>
      <c r="E51" s="487"/>
      <c r="F51" s="487"/>
      <c r="G51" s="487"/>
      <c r="H51" s="488"/>
      <c r="I51" s="4">
        <v>153</v>
      </c>
      <c r="J51" s="8"/>
      <c r="K51" s="59">
        <f>IF(K50&gt;0,K50,0)</f>
        <v>11771</v>
      </c>
      <c r="L51" s="59">
        <f>IF(L50&gt;0,L50,0)</f>
        <v>91036</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21507021048; ZELENJAK PLIN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21507021048; ZELENJAK PLIN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21507021048; ZELENJAK PLIN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Tihomir</cp:lastModifiedBy>
  <cp:lastPrinted>2016-04-28T07:00:42Z</cp:lastPrinted>
  <dcterms:created xsi:type="dcterms:W3CDTF">2008-10-17T11:51:54Z</dcterms:created>
  <dcterms:modified xsi:type="dcterms:W3CDTF">2016-05-31T06:50:43Z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